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400" windowHeight="5985" tabRatio="478" activeTab="1"/>
  </bookViews>
  <sheets>
    <sheet name="Team Selection" sheetId="1" r:id="rId1"/>
    <sheet name="Stage  Entry" sheetId="2" r:id="rId2"/>
    <sheet name="Teams by Stage" sheetId="3" r:id="rId3"/>
    <sheet name="Stage-by-Stage" sheetId="4" r:id="rId4"/>
    <sheet name="Runner Performance" sheetId="5" r:id="rId5"/>
    <sheet name="Data" sheetId="6" r:id="rId6"/>
  </sheets>
  <definedNames>
    <definedName name="Dist1">'Stage  Entry'!$I$2</definedName>
    <definedName name="Dist10">'Stage  Entry'!$AC$10</definedName>
    <definedName name="Dist11">'Stage  Entry'!$AH$10</definedName>
    <definedName name="Dist12">'Stage  Entry'!$AM$10</definedName>
    <definedName name="Dist13">'Stage  Entry'!$AR$10</definedName>
    <definedName name="Dist14">'Stage  Entry'!$AW$10</definedName>
    <definedName name="Dist2">'Stage  Entry'!$X$2</definedName>
    <definedName name="Dist3">'Stage  Entry'!$AC$2</definedName>
    <definedName name="Dist4">'Stage  Entry'!$AH$2</definedName>
    <definedName name="Dist5">'Stage  Entry'!$AM$2</definedName>
    <definedName name="Dist6">'Stage  Entry'!$AR$2</definedName>
    <definedName name="Dist7">'Stage  Entry'!$AW$2</definedName>
    <definedName name="Dist8">'Stage  Entry'!$I$10</definedName>
    <definedName name="Dist9">'Stage  Entry'!$X$10</definedName>
    <definedName name="_xlnm.Print_Area" localSheetId="1">'Stage  Entry'!$A$1:$BE$16</definedName>
    <definedName name="_xlnm.Print_Area" localSheetId="0">'Team Selection'!$B$1:$J$7</definedName>
    <definedName name="_xlnm.Print_Titles" localSheetId="1">'Stage  Entry'!$A:$G</definedName>
    <definedName name="RunnerName">#REF!</definedName>
    <definedName name="Stage">#REF!</definedName>
    <definedName name="Stage1">#REF!</definedName>
    <definedName name="Stage10">#REF!</definedName>
    <definedName name="Stage11">#REF!</definedName>
    <definedName name="Stage12">#REF!</definedName>
    <definedName name="Stage13">#REF!</definedName>
    <definedName name="Stage14">#REF!</definedName>
    <definedName name="Stage15">#REF!</definedName>
    <definedName name="Stage16">#REF!</definedName>
    <definedName name="Stage2">#REF!</definedName>
    <definedName name="Stage3">#REF!</definedName>
    <definedName name="Stage4">#REF!</definedName>
    <definedName name="Stage5">#REF!</definedName>
    <definedName name="Stage6">#REF!</definedName>
    <definedName name="Stage7">#REF!</definedName>
    <definedName name="Stage8">#REF!</definedName>
    <definedName name="Stage9">#REF!</definedName>
    <definedName name="Team1">'Team Selection'!$D$3:$J$3</definedName>
    <definedName name="Team1Result">#REF!</definedName>
    <definedName name="Team1Runner1">#REF!</definedName>
    <definedName name="Team1Runner2">#REF!</definedName>
    <definedName name="Team1Runner3">#REF!</definedName>
    <definedName name="Team1Runner4">#REF!</definedName>
    <definedName name="Team2">'Team Selection'!$D$4:$J$4</definedName>
    <definedName name="Team2Result">#REF!</definedName>
    <definedName name="Team2Runner1">#REF!</definedName>
    <definedName name="Team2Runner2">#REF!</definedName>
    <definedName name="Team2Runner3">#REF!</definedName>
    <definedName name="Team2Runner4">#REF!</definedName>
    <definedName name="Team3">'Team Selection'!$D$5:$J$5</definedName>
    <definedName name="Team3Result">#REF!</definedName>
    <definedName name="Team3Runner1">#REF!</definedName>
    <definedName name="Team3Runner2">#REF!</definedName>
    <definedName name="Team3Runner3">#REF!</definedName>
    <definedName name="Team3Runner4">#REF!</definedName>
    <definedName name="Team4">'Team Selection'!$D$6:$J$6</definedName>
    <definedName name="Team4Result">#REF!</definedName>
    <definedName name="Team4Runner1">#REF!</definedName>
    <definedName name="Team4Runner2">#REF!</definedName>
    <definedName name="Team4Runner3">#REF!</definedName>
    <definedName name="Team4Runner4">#REF!</definedName>
    <definedName name="Team5">'Team Selection'!$D$7:$J$7</definedName>
    <definedName name="Team5Result">#REF!</definedName>
    <definedName name="Team5Runner1">#REF!</definedName>
    <definedName name="Team5Runner2">#REF!</definedName>
    <definedName name="Team5Runner3">#REF!</definedName>
    <definedName name="Team5Runner4">#REF!</definedName>
    <definedName name="Team6">'Team Selection'!#REF!</definedName>
    <definedName name="Team6Result">#REF!</definedName>
    <definedName name="Team6Runner1">#REF!</definedName>
    <definedName name="Team6Runner2">#REF!</definedName>
    <definedName name="Team6Runner3">#REF!</definedName>
    <definedName name="Team6Runner4">#REF!</definedName>
  </definedNames>
  <calcPr fullCalcOnLoad="1"/>
</workbook>
</file>

<file path=xl/sharedStrings.xml><?xml version="1.0" encoding="utf-8"?>
<sst xmlns="http://schemas.openxmlformats.org/spreadsheetml/2006/main" count="500" uniqueCount="90">
  <si>
    <t>Team</t>
  </si>
  <si>
    <t>2nd Runner</t>
  </si>
  <si>
    <t>3rd Runner</t>
  </si>
  <si>
    <t>4th Runner</t>
  </si>
  <si>
    <t>1st Runner</t>
  </si>
  <si>
    <t>Stage 1</t>
  </si>
  <si>
    <t>Runner</t>
  </si>
  <si>
    <t>Time</t>
  </si>
  <si>
    <t>min/km</t>
  </si>
  <si>
    <t>km</t>
  </si>
  <si>
    <t>Rank</t>
  </si>
  <si>
    <t>Stage</t>
  </si>
  <si>
    <t>Stage 2</t>
  </si>
  <si>
    <t>Stage 3</t>
  </si>
  <si>
    <t>Stage 4</t>
  </si>
  <si>
    <t>Stage 5</t>
  </si>
  <si>
    <t>Stage 6</t>
  </si>
  <si>
    <t>Stage 7</t>
  </si>
  <si>
    <t>Stage 8</t>
  </si>
  <si>
    <t xml:space="preserve">Overall </t>
  </si>
  <si>
    <t xml:space="preserve">Morning </t>
  </si>
  <si>
    <t>Stage 9</t>
  </si>
  <si>
    <t>Stage 10</t>
  </si>
  <si>
    <t>Stage 11</t>
  </si>
  <si>
    <t>Stage 12</t>
  </si>
  <si>
    <t>Stage 13</t>
  </si>
  <si>
    <t>Stage 14</t>
  </si>
  <si>
    <t xml:space="preserve">A/noon </t>
  </si>
  <si>
    <t>Ones</t>
  </si>
  <si>
    <t>Twos</t>
  </si>
  <si>
    <t>Threes</t>
  </si>
  <si>
    <t>Fours</t>
  </si>
  <si>
    <t>Dist</t>
  </si>
  <si>
    <t>Run 1</t>
  </si>
  <si>
    <t>Run 2</t>
  </si>
  <si>
    <t>Run 3</t>
  </si>
  <si>
    <t>Run 4</t>
  </si>
  <si>
    <t>Name</t>
  </si>
  <si>
    <t>Distance</t>
  </si>
  <si>
    <t>Total</t>
  </si>
  <si>
    <t>Average</t>
  </si>
  <si>
    <t>Cumulative</t>
  </si>
  <si>
    <t>Margin</t>
  </si>
  <si>
    <t>Place</t>
  </si>
  <si>
    <t>Team Name</t>
  </si>
  <si>
    <t>Stage 1 TT #1</t>
  </si>
  <si>
    <t>Stage 1 TT #2</t>
  </si>
  <si>
    <t>Stage 8 TT #1</t>
  </si>
  <si>
    <t>Stage 8 TT #2</t>
  </si>
  <si>
    <t>1 #1</t>
  </si>
  <si>
    <t>1 #2</t>
  </si>
  <si>
    <t>8 #1</t>
  </si>
  <si>
    <t>8 #2</t>
  </si>
  <si>
    <t>Combined</t>
  </si>
  <si>
    <t>Gary O'Dwyer</t>
  </si>
  <si>
    <t>David Venour</t>
  </si>
  <si>
    <t>Troy Williams</t>
  </si>
  <si>
    <t>Anthony Mithen</t>
  </si>
  <si>
    <t>Matt Sandilands</t>
  </si>
  <si>
    <t>Count Name</t>
  </si>
  <si>
    <t>Seeding Order</t>
  </si>
  <si>
    <t>Selection Metric?</t>
  </si>
  <si>
    <t>Stage 1 TT</t>
  </si>
  <si>
    <t>Stage 8 TT</t>
  </si>
  <si>
    <t>Craig Harris</t>
  </si>
  <si>
    <t>Stephen Paine</t>
  </si>
  <si>
    <t>Glenn Goodman</t>
  </si>
  <si>
    <t>Paul Marsh</t>
  </si>
  <si>
    <t>Patrick O'Keefe</t>
  </si>
  <si>
    <t>Mike Bialczak</t>
  </si>
  <si>
    <t>Luke Yeatman</t>
  </si>
  <si>
    <t>Andrew Coles</t>
  </si>
  <si>
    <t>Colin Thornton</t>
  </si>
  <si>
    <t>Richard Does</t>
  </si>
  <si>
    <t>Shane Fielding</t>
  </si>
  <si>
    <t>Luke Gray</t>
  </si>
  <si>
    <t>Scott Lawrence</t>
  </si>
  <si>
    <t>Mark Purvis</t>
  </si>
  <si>
    <t>Dale Nardella</t>
  </si>
  <si>
    <t>Wesfarmers Whippets</t>
  </si>
  <si>
    <t>Massive Tickers</t>
  </si>
  <si>
    <t>Yeats Mates</t>
  </si>
  <si>
    <t>The Bradburys</t>
  </si>
  <si>
    <t>Never A Chance</t>
  </si>
  <si>
    <t>Sub</t>
  </si>
  <si>
    <t>Penalties</t>
  </si>
  <si>
    <t>Comment</t>
  </si>
  <si>
    <t>Missed Changeover 5 to 6</t>
  </si>
  <si>
    <t>Adj</t>
  </si>
  <si>
    <t>Subs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</si>
</sst>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:ss"/>
    <numFmt numFmtId="173" formatCode="\ \ \ General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</numFmts>
  <fonts count="21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55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sz val="8"/>
      <color indexed="12"/>
      <name val="Tahoma"/>
      <family val="2"/>
    </font>
    <font>
      <b/>
      <sz val="12"/>
      <name val="Arial"/>
      <family val="0"/>
    </font>
    <font>
      <b/>
      <sz val="10"/>
      <name val="Arial"/>
      <family val="0"/>
    </font>
    <font>
      <sz val="11"/>
      <name val="Century Gothic"/>
      <family val="2"/>
    </font>
    <font>
      <sz val="10"/>
      <color indexed="22"/>
      <name val="Tahoma"/>
      <family val="2"/>
    </font>
    <font>
      <sz val="8"/>
      <color indexed="12"/>
      <name val="Tahoma"/>
      <family val="2"/>
    </font>
    <font>
      <b/>
      <sz val="10"/>
      <color indexed="22"/>
      <name val="Tahoma"/>
      <family val="2"/>
    </font>
    <font>
      <sz val="10"/>
      <color indexed="10"/>
      <name val="Arial"/>
      <family val="0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8"/>
      <color indexed="22"/>
      <name val="Tahoma"/>
      <family val="2"/>
    </font>
    <font>
      <u val="single"/>
      <sz val="10"/>
      <color indexed="23"/>
      <name val="Tahoma"/>
      <family val="2"/>
    </font>
    <font>
      <b/>
      <sz val="10"/>
      <color indexed="23"/>
      <name val="Tahoma"/>
      <family val="2"/>
    </font>
    <font>
      <sz val="10"/>
      <color indexed="23"/>
      <name val="Tahoma"/>
      <family val="2"/>
    </font>
    <font>
      <b/>
      <sz val="10"/>
      <color indexed="23"/>
      <name val="Webdings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172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72" fontId="2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2" fontId="1" fillId="0" borderId="7" xfId="0" applyNumberFormat="1" applyFont="1" applyBorder="1" applyAlignment="1">
      <alignment horizontal="centerContinuous"/>
    </xf>
    <xf numFmtId="172" fontId="2" fillId="0" borderId="5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Continuous"/>
    </xf>
    <xf numFmtId="2" fontId="2" fillId="0" borderId="5" xfId="0" applyNumberFormat="1" applyFont="1" applyBorder="1" applyAlignment="1">
      <alignment horizontal="center"/>
    </xf>
    <xf numFmtId="172" fontId="1" fillId="0" borderId="8" xfId="0" applyNumberFormat="1" applyFont="1" applyBorder="1" applyAlignment="1">
      <alignment horizontal="centerContinuous"/>
    </xf>
    <xf numFmtId="172" fontId="2" fillId="0" borderId="9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72" fontId="2" fillId="2" borderId="11" xfId="0" applyNumberFormat="1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Continuous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vertical="center"/>
    </xf>
    <xf numFmtId="0" fontId="10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4" fillId="3" borderId="0" xfId="0" applyFont="1" applyFill="1" applyBorder="1" applyAlignment="1" applyProtection="1">
      <alignment horizontal="center" vertical="center"/>
      <protection/>
    </xf>
    <xf numFmtId="1" fontId="4" fillId="3" borderId="0" xfId="0" applyNumberFormat="1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vertical="center"/>
      <protection/>
    </xf>
    <xf numFmtId="0" fontId="4" fillId="3" borderId="0" xfId="0" applyFont="1" applyFill="1" applyBorder="1" applyAlignment="1" applyProtection="1">
      <alignment horizontal="left" vertical="center"/>
      <protection/>
    </xf>
    <xf numFmtId="0" fontId="5" fillId="3" borderId="0" xfId="0" applyFont="1" applyFill="1" applyBorder="1" applyAlignment="1" applyProtection="1">
      <alignment horizontal="center" vertical="center"/>
      <protection/>
    </xf>
    <xf numFmtId="45" fontId="2" fillId="3" borderId="0" xfId="0" applyNumberFormat="1" applyFont="1" applyFill="1" applyBorder="1" applyAlignment="1" applyProtection="1">
      <alignment horizontal="center" vertical="center"/>
      <protection/>
    </xf>
    <xf numFmtId="172" fontId="2" fillId="3" borderId="0" xfId="0" applyNumberFormat="1" applyFont="1" applyFill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left"/>
      <protection/>
    </xf>
    <xf numFmtId="0" fontId="1" fillId="3" borderId="0" xfId="0" applyFont="1" applyFill="1" applyAlignment="1" applyProtection="1">
      <alignment horizontal="center"/>
      <protection/>
    </xf>
    <xf numFmtId="1" fontId="1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/>
      <protection/>
    </xf>
    <xf numFmtId="2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2" fontId="2" fillId="3" borderId="0" xfId="0" applyNumberFormat="1" applyFont="1" applyFill="1" applyAlignment="1" applyProtection="1">
      <alignment/>
      <protection/>
    </xf>
    <xf numFmtId="0" fontId="4" fillId="4" borderId="4" xfId="0" applyFont="1" applyFill="1" applyBorder="1" applyAlignment="1" applyProtection="1">
      <alignment horizontal="left" vertical="center"/>
      <protection/>
    </xf>
    <xf numFmtId="0" fontId="4" fillId="4" borderId="5" xfId="0" applyFont="1" applyFill="1" applyBorder="1" applyAlignment="1" applyProtection="1">
      <alignment horizontal="center" vertical="center"/>
      <protection/>
    </xf>
    <xf numFmtId="1" fontId="6" fillId="4" borderId="5" xfId="0" applyNumberFormat="1" applyFont="1" applyFill="1" applyBorder="1" applyAlignment="1" applyProtection="1">
      <alignment horizontal="center" vertical="center"/>
      <protection/>
    </xf>
    <xf numFmtId="0" fontId="2" fillId="4" borderId="4" xfId="0" applyFont="1" applyFill="1" applyBorder="1" applyAlignment="1" applyProtection="1">
      <alignment horizontal="left" vertical="center"/>
      <protection/>
    </xf>
    <xf numFmtId="21" fontId="1" fillId="4" borderId="5" xfId="0" applyNumberFormat="1" applyFont="1" applyFill="1" applyBorder="1" applyAlignment="1" applyProtection="1">
      <alignment horizontal="center" vertical="center"/>
      <protection/>
    </xf>
    <xf numFmtId="1" fontId="1" fillId="4" borderId="5" xfId="0" applyNumberFormat="1" applyFont="1" applyFill="1" applyBorder="1" applyAlignment="1" applyProtection="1">
      <alignment horizontal="center" vertical="center"/>
      <protection/>
    </xf>
    <xf numFmtId="2" fontId="4" fillId="4" borderId="15" xfId="0" applyNumberFormat="1" applyFont="1" applyFill="1" applyBorder="1" applyAlignment="1" applyProtection="1">
      <alignment horizontal="right" vertical="center"/>
      <protection/>
    </xf>
    <xf numFmtId="0" fontId="4" fillId="4" borderId="3" xfId="0" applyFont="1" applyFill="1" applyBorder="1" applyAlignment="1" applyProtection="1">
      <alignment horizontal="left" vertical="center"/>
      <protection/>
    </xf>
    <xf numFmtId="0" fontId="4" fillId="4" borderId="5" xfId="0" applyFont="1" applyFill="1" applyBorder="1" applyAlignment="1" applyProtection="1">
      <alignment vertical="center"/>
      <protection/>
    </xf>
    <xf numFmtId="2" fontId="5" fillId="4" borderId="5" xfId="0" applyNumberFormat="1" applyFont="1" applyFill="1" applyBorder="1" applyAlignment="1" applyProtection="1">
      <alignment horizontal="center" vertical="center"/>
      <protection/>
    </xf>
    <xf numFmtId="0" fontId="2" fillId="4" borderId="16" xfId="0" applyFont="1" applyFill="1" applyBorder="1" applyAlignment="1" applyProtection="1">
      <alignment vertical="center"/>
      <protection locked="0"/>
    </xf>
    <xf numFmtId="45" fontId="2" fillId="4" borderId="11" xfId="0" applyNumberFormat="1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left" vertical="center"/>
      <protection/>
    </xf>
    <xf numFmtId="0" fontId="2" fillId="4" borderId="5" xfId="0" applyFont="1" applyFill="1" applyBorder="1" applyAlignment="1" applyProtection="1">
      <alignment horizontal="left" vertical="center"/>
      <protection/>
    </xf>
    <xf numFmtId="0" fontId="4" fillId="3" borderId="0" xfId="0" applyFont="1" applyFill="1" applyAlignment="1" applyProtection="1">
      <alignment horizontal="left" vertical="center"/>
      <protection/>
    </xf>
    <xf numFmtId="0" fontId="5" fillId="3" borderId="0" xfId="0" applyFont="1" applyFill="1" applyAlignment="1" applyProtection="1">
      <alignment vertical="center"/>
      <protection/>
    </xf>
    <xf numFmtId="2" fontId="5" fillId="3" borderId="0" xfId="0" applyNumberFormat="1" applyFont="1" applyFill="1" applyAlignment="1" applyProtection="1">
      <alignment vertical="center"/>
      <protection/>
    </xf>
    <xf numFmtId="0" fontId="5" fillId="3" borderId="0" xfId="0" applyFont="1" applyFill="1" applyAlignment="1" applyProtection="1">
      <alignment horizontal="center" vertical="center"/>
      <protection/>
    </xf>
    <xf numFmtId="0" fontId="5" fillId="3" borderId="0" xfId="0" applyFont="1" applyFill="1" applyAlignment="1" applyProtection="1">
      <alignment horizontal="left" vertical="center"/>
      <protection/>
    </xf>
    <xf numFmtId="0" fontId="4" fillId="3" borderId="0" xfId="0" applyFont="1" applyFill="1" applyAlignment="1" applyProtection="1">
      <alignment horizontal="center" vertical="center"/>
      <protection/>
    </xf>
    <xf numFmtId="1" fontId="4" fillId="3" borderId="0" xfId="0" applyNumberFormat="1" applyFont="1" applyFill="1" applyAlignment="1" applyProtection="1">
      <alignment horizontal="center" vertical="center"/>
      <protection/>
    </xf>
    <xf numFmtId="2" fontId="5" fillId="3" borderId="0" xfId="0" applyNumberFormat="1" applyFont="1" applyFill="1" applyAlignment="1" applyProtection="1">
      <alignment horizontal="center" vertical="center"/>
      <protection/>
    </xf>
    <xf numFmtId="0" fontId="11" fillId="4" borderId="10" xfId="0" applyFont="1" applyFill="1" applyBorder="1" applyAlignment="1" applyProtection="1">
      <alignment horizontal="center" vertical="center"/>
      <protection/>
    </xf>
    <xf numFmtId="0" fontId="11" fillId="4" borderId="5" xfId="0" applyFont="1" applyFill="1" applyBorder="1" applyAlignment="1" applyProtection="1">
      <alignment horizontal="center" vertical="center"/>
      <protection/>
    </xf>
    <xf numFmtId="0" fontId="11" fillId="4" borderId="9" xfId="0" applyFont="1" applyFill="1" applyBorder="1" applyAlignment="1" applyProtection="1">
      <alignment horizontal="center" vertical="center"/>
      <protection/>
    </xf>
    <xf numFmtId="0" fontId="2" fillId="4" borderId="4" xfId="0" applyFont="1" applyFill="1" applyBorder="1" applyAlignment="1">
      <alignment horizontal="left" vertical="center"/>
    </xf>
    <xf numFmtId="0" fontId="2" fillId="4" borderId="16" xfId="0" applyNumberFormat="1" applyFont="1" applyFill="1" applyBorder="1" applyAlignment="1">
      <alignment horizontal="left" vertical="center"/>
    </xf>
    <xf numFmtId="45" fontId="2" fillId="4" borderId="11" xfId="0" applyNumberFormat="1" applyFont="1" applyFill="1" applyBorder="1" applyAlignment="1">
      <alignment horizontal="center" vertical="center"/>
    </xf>
    <xf numFmtId="21" fontId="2" fillId="4" borderId="12" xfId="0" applyNumberFormat="1" applyFont="1" applyFill="1" applyBorder="1" applyAlignment="1">
      <alignment horizontal="center" vertical="center"/>
    </xf>
    <xf numFmtId="0" fontId="0" fillId="3" borderId="0" xfId="0" applyNumberFormat="1" applyFill="1" applyAlignment="1">
      <alignment horizontal="left"/>
    </xf>
    <xf numFmtId="0" fontId="4" fillId="4" borderId="4" xfId="0" applyFont="1" applyFill="1" applyBorder="1" applyAlignment="1">
      <alignment horizontal="left" vertical="center"/>
    </xf>
    <xf numFmtId="0" fontId="4" fillId="4" borderId="9" xfId="0" applyNumberFormat="1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4" fillId="4" borderId="5" xfId="0" applyNumberFormat="1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Continuous" vertical="center"/>
    </xf>
    <xf numFmtId="0" fontId="4" fillId="4" borderId="15" xfId="0" applyFont="1" applyFill="1" applyBorder="1" applyAlignment="1">
      <alignment horizontal="centerContinuous" vertical="center"/>
    </xf>
    <xf numFmtId="0" fontId="0" fillId="4" borderId="3" xfId="0" applyFill="1" applyBorder="1" applyAlignment="1">
      <alignment horizontal="centerContinuous"/>
    </xf>
    <xf numFmtId="0" fontId="0" fillId="4" borderId="17" xfId="0" applyNumberFormat="1" applyFill="1" applyBorder="1" applyAlignment="1">
      <alignment horizontal="center"/>
    </xf>
    <xf numFmtId="172" fontId="0" fillId="4" borderId="18" xfId="0" applyNumberFormat="1" applyFill="1" applyBorder="1" applyAlignment="1">
      <alignment horizontal="center"/>
    </xf>
    <xf numFmtId="0" fontId="4" fillId="3" borderId="0" xfId="0" applyFont="1" applyFill="1" applyAlignment="1">
      <alignment/>
    </xf>
    <xf numFmtId="0" fontId="4" fillId="3" borderId="0" xfId="0" applyNumberFormat="1" applyFont="1" applyFill="1" applyAlignment="1">
      <alignment horizontal="left"/>
    </xf>
    <xf numFmtId="0" fontId="4" fillId="4" borderId="16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13" fillId="3" borderId="0" xfId="0" applyFont="1" applyFill="1" applyAlignment="1">
      <alignment/>
    </xf>
    <xf numFmtId="0" fontId="14" fillId="3" borderId="0" xfId="0" applyFont="1" applyFill="1" applyAlignment="1">
      <alignment vertical="center"/>
    </xf>
    <xf numFmtId="0" fontId="15" fillId="3" borderId="0" xfId="0" applyNumberFormat="1" applyFont="1" applyFill="1" applyAlignment="1">
      <alignment horizontal="left"/>
    </xf>
    <xf numFmtId="0" fontId="15" fillId="3" borderId="0" xfId="0" applyFont="1" applyFill="1" applyAlignment="1">
      <alignment/>
    </xf>
    <xf numFmtId="0" fontId="15" fillId="3" borderId="0" xfId="0" applyFont="1" applyFill="1" applyAlignment="1">
      <alignment horizontal="center"/>
    </xf>
    <xf numFmtId="0" fontId="13" fillId="3" borderId="0" xfId="0" applyNumberFormat="1" applyFont="1" applyFill="1" applyAlignment="1">
      <alignment horizontal="left"/>
    </xf>
    <xf numFmtId="0" fontId="13" fillId="3" borderId="0" xfId="0" applyFont="1" applyFill="1" applyAlignment="1">
      <alignment horizontal="left"/>
    </xf>
    <xf numFmtId="172" fontId="13" fillId="3" borderId="0" xfId="0" applyNumberFormat="1" applyFont="1" applyFill="1" applyAlignment="1">
      <alignment horizontal="center"/>
    </xf>
    <xf numFmtId="0" fontId="12" fillId="4" borderId="5" xfId="0" applyFont="1" applyFill="1" applyBorder="1" applyAlignment="1" applyProtection="1">
      <alignment horizontal="center" vertical="center"/>
      <protection/>
    </xf>
    <xf numFmtId="2" fontId="12" fillId="4" borderId="15" xfId="0" applyNumberFormat="1" applyFont="1" applyFill="1" applyBorder="1" applyAlignment="1" applyProtection="1">
      <alignment horizontal="right" vertical="center"/>
      <protection/>
    </xf>
    <xf numFmtId="0" fontId="12" fillId="4" borderId="3" xfId="0" applyFont="1" applyFill="1" applyBorder="1" applyAlignment="1" applyProtection="1">
      <alignment horizontal="left" vertical="center"/>
      <protection/>
    </xf>
    <xf numFmtId="0" fontId="16" fillId="4" borderId="10" xfId="0" applyFont="1" applyFill="1" applyBorder="1" applyAlignment="1" applyProtection="1">
      <alignment horizontal="center" vertical="center"/>
      <protection/>
    </xf>
    <xf numFmtId="0" fontId="12" fillId="4" borderId="5" xfId="0" applyFont="1" applyFill="1" applyBorder="1" applyAlignment="1" applyProtection="1">
      <alignment vertical="center"/>
      <protection/>
    </xf>
    <xf numFmtId="2" fontId="10" fillId="4" borderId="5" xfId="0" applyNumberFormat="1" applyFont="1" applyFill="1" applyBorder="1" applyAlignment="1" applyProtection="1">
      <alignment horizontal="center" vertical="center"/>
      <protection/>
    </xf>
    <xf numFmtId="0" fontId="16" fillId="4" borderId="5" xfId="0" applyFont="1" applyFill="1" applyBorder="1" applyAlignment="1" applyProtection="1">
      <alignment horizontal="center" vertical="center"/>
      <protection/>
    </xf>
    <xf numFmtId="0" fontId="16" fillId="4" borderId="9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vertical="center"/>
      <protection locked="0"/>
    </xf>
    <xf numFmtId="45" fontId="10" fillId="4" borderId="11" xfId="0" applyNumberFormat="1" applyFont="1" applyFill="1" applyBorder="1" applyAlignment="1" applyProtection="1">
      <alignment horizontal="center" vertical="center"/>
      <protection locked="0"/>
    </xf>
    <xf numFmtId="172" fontId="10" fillId="2" borderId="11" xfId="0" applyNumberFormat="1" applyFont="1" applyFill="1" applyBorder="1" applyAlignment="1" applyProtection="1">
      <alignment horizontal="center" vertical="center"/>
      <protection/>
    </xf>
    <xf numFmtId="0" fontId="10" fillId="2" borderId="12" xfId="0" applyFont="1" applyFill="1" applyBorder="1" applyAlignment="1" applyProtection="1">
      <alignment horizontal="center" vertical="center"/>
      <protection/>
    </xf>
    <xf numFmtId="0" fontId="10" fillId="3" borderId="0" xfId="0" applyFont="1" applyFill="1" applyAlignment="1" applyProtection="1">
      <alignment/>
      <protection/>
    </xf>
    <xf numFmtId="2" fontId="10" fillId="3" borderId="0" xfId="0" applyNumberFormat="1" applyFont="1" applyFill="1" applyAlignment="1" applyProtection="1">
      <alignment horizontal="center"/>
      <protection/>
    </xf>
    <xf numFmtId="0" fontId="10" fillId="3" borderId="0" xfId="0" applyFont="1" applyFill="1" applyAlignment="1" applyProtection="1">
      <alignment horizontal="center"/>
      <protection/>
    </xf>
    <xf numFmtId="2" fontId="10" fillId="3" borderId="0" xfId="0" applyNumberFormat="1" applyFont="1" applyFill="1" applyAlignment="1" applyProtection="1">
      <alignment/>
      <protection/>
    </xf>
    <xf numFmtId="45" fontId="10" fillId="3" borderId="0" xfId="0" applyNumberFormat="1" applyFont="1" applyFill="1" applyBorder="1" applyAlignment="1" applyProtection="1">
      <alignment horizontal="center" vertical="center"/>
      <protection/>
    </xf>
    <xf numFmtId="0" fontId="2" fillId="0" borderId="5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45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72" fontId="2" fillId="0" borderId="7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72" fontId="2" fillId="0" borderId="8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172" fontId="2" fillId="0" borderId="19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/>
    </xf>
    <xf numFmtId="0" fontId="18" fillId="3" borderId="0" xfId="0" applyFont="1" applyFill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vertical="center"/>
    </xf>
    <xf numFmtId="0" fontId="1" fillId="4" borderId="4" xfId="0" applyFont="1" applyFill="1" applyBorder="1" applyAlignment="1" applyProtection="1">
      <alignment horizontal="left" vertical="center"/>
      <protection/>
    </xf>
    <xf numFmtId="45" fontId="2" fillId="0" borderId="11" xfId="0" applyNumberFormat="1" applyFont="1" applyFill="1" applyBorder="1" applyAlignment="1" applyProtection="1">
      <alignment horizontal="center" vertical="center"/>
      <protection locked="0"/>
    </xf>
    <xf numFmtId="45" fontId="2" fillId="4" borderId="12" xfId="0" applyNumberFormat="1" applyFont="1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>
      <alignment horizontal="centerContinuous"/>
    </xf>
    <xf numFmtId="0" fontId="17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MMM Spring Relay - Teams by Stage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'Teams by Stage'!$AY$11</c:f>
              <c:strCache>
                <c:ptCount val="1"/>
                <c:pt idx="0">
                  <c:v>The Bradburys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'Teams by Stage'!$AZ$10:$BO$10</c:f>
              <c:str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Adj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Adj</c:v>
                </c:pt>
              </c:strCache>
            </c:strRef>
          </c:cat>
          <c:val>
            <c:numRef>
              <c:f>'Teams by Stage'!$AZ$11:$BO$11</c:f>
              <c:numCache>
                <c:ptCount val="16"/>
                <c:pt idx="0">
                  <c:v>3.4722222222222446E-05</c:v>
                </c:pt>
                <c:pt idx="1">
                  <c:v>0.0011689814814814792</c:v>
                </c:pt>
                <c:pt idx="2">
                  <c:v>0.0007870370370370375</c:v>
                </c:pt>
                <c:pt idx="3">
                  <c:v>0.0016203703703703692</c:v>
                </c:pt>
                <c:pt idx="4">
                  <c:v>0.0014004629629629645</c:v>
                </c:pt>
                <c:pt idx="5">
                  <c:v>0.0022800925925925974</c:v>
                </c:pt>
                <c:pt idx="6">
                  <c:v>0.0018865740740740822</c:v>
                </c:pt>
                <c:pt idx="7">
                  <c:v>0.0016898148148148245</c:v>
                </c:pt>
                <c:pt idx="8">
                  <c:v>0.0028703703703703842</c:v>
                </c:pt>
                <c:pt idx="9">
                  <c:v>0.002152777777777795</c:v>
                </c:pt>
                <c:pt idx="10">
                  <c:v>0.0027314814814815014</c:v>
                </c:pt>
                <c:pt idx="11">
                  <c:v>0.0025115740740740966</c:v>
                </c:pt>
                <c:pt idx="12">
                  <c:v>0.0022453703703703976</c:v>
                </c:pt>
                <c:pt idx="13">
                  <c:v>0.0030671296296296557</c:v>
                </c:pt>
                <c:pt idx="14">
                  <c:v>0.00430555555555559</c:v>
                </c:pt>
                <c:pt idx="15">
                  <c:v>0.00430555555555559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'Teams by Stage'!$AY$12</c:f>
              <c:strCache>
                <c:ptCount val="1"/>
                <c:pt idx="0">
                  <c:v>Never A Chance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'Teams by Stage'!$AZ$10:$BO$10</c:f>
              <c:str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Adj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Adj</c:v>
                </c:pt>
              </c:strCache>
            </c:strRef>
          </c:cat>
          <c:val>
            <c:numRef>
              <c:f>'Teams by Stage'!$AZ$12:$BO$12</c:f>
              <c:numCache>
                <c:ptCount val="16"/>
                <c:pt idx="0">
                  <c:v>0.0006944444444444454</c:v>
                </c:pt>
                <c:pt idx="1">
                  <c:v>0.002395833333333333</c:v>
                </c:pt>
                <c:pt idx="2">
                  <c:v>0.002395833333333333</c:v>
                </c:pt>
                <c:pt idx="3">
                  <c:v>0.0032060185185185178</c:v>
                </c:pt>
                <c:pt idx="4">
                  <c:v>0.00314814814814815</c:v>
                </c:pt>
                <c:pt idx="5">
                  <c:v>0.004421296296296298</c:v>
                </c:pt>
                <c:pt idx="6">
                  <c:v>0.004155092592592599</c:v>
                </c:pt>
                <c:pt idx="7">
                  <c:v>0.0039583333333333415</c:v>
                </c:pt>
                <c:pt idx="8">
                  <c:v>0.004571759259259275</c:v>
                </c:pt>
                <c:pt idx="9">
                  <c:v>0.005000000000000018</c:v>
                </c:pt>
                <c:pt idx="10">
                  <c:v>0.007812500000000014</c:v>
                </c:pt>
                <c:pt idx="11">
                  <c:v>0.007592592592592609</c:v>
                </c:pt>
                <c:pt idx="12">
                  <c:v>0.00856481481481483</c:v>
                </c:pt>
                <c:pt idx="13">
                  <c:v>0.01013888888888892</c:v>
                </c:pt>
                <c:pt idx="14">
                  <c:v>0.012222222222222273</c:v>
                </c:pt>
                <c:pt idx="15">
                  <c:v>0.012222222222222273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'Teams by Stage'!$AY$13</c:f>
              <c:strCache>
                <c:ptCount val="1"/>
                <c:pt idx="0">
                  <c:v>Yeats Mates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'Teams by Stage'!$AZ$10:$BO$10</c:f>
              <c:str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Adj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Adj</c:v>
                </c:pt>
              </c:strCache>
            </c:strRef>
          </c:cat>
          <c:val>
            <c:numRef>
              <c:f>'Teams by Stage'!$AZ$13:$BO$13</c:f>
              <c:numCache>
                <c:ptCount val="16"/>
                <c:pt idx="0">
                  <c:v>0.0002546296296296307</c:v>
                </c:pt>
                <c:pt idx="1">
                  <c:v>0.0007291666666666696</c:v>
                </c:pt>
                <c:pt idx="2">
                  <c:v>0.00016203703703703692</c:v>
                </c:pt>
                <c:pt idx="3">
                  <c:v>0.00035879629629629456</c:v>
                </c:pt>
                <c:pt idx="4">
                  <c:v>0.0004166666666666624</c:v>
                </c:pt>
                <c:pt idx="5">
                  <c:v>0.0006481481481481477</c:v>
                </c:pt>
                <c:pt idx="6">
                  <c:v>0.00026620370370369906</c:v>
                </c:pt>
                <c:pt idx="7">
                  <c:v>0.001122685185185185</c:v>
                </c:pt>
                <c:pt idx="8">
                  <c:v>0.0022222222222222227</c:v>
                </c:pt>
                <c:pt idx="9">
                  <c:v>0.00224537037037037</c:v>
                </c:pt>
                <c:pt idx="10">
                  <c:v>0.0022222222222222227</c:v>
                </c:pt>
                <c:pt idx="11">
                  <c:v>0.0025115740740740827</c:v>
                </c:pt>
                <c:pt idx="12">
                  <c:v>0.0030208333333333615</c:v>
                </c:pt>
                <c:pt idx="13">
                  <c:v>0.003136574074074111</c:v>
                </c:pt>
                <c:pt idx="14">
                  <c:v>0.003726851851851898</c:v>
                </c:pt>
                <c:pt idx="15">
                  <c:v>0.003726851851851898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'Teams by Stage'!$AY$14</c:f>
              <c:strCache>
                <c:ptCount val="1"/>
                <c:pt idx="0">
                  <c:v>Massive Tickers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'Teams by Stage'!$AZ$10:$BO$10</c:f>
              <c:str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Adj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Adj</c:v>
                </c:pt>
              </c:strCache>
            </c:strRef>
          </c:cat>
          <c:val>
            <c:numRef>
              <c:f>'Teams by Stage'!$AZ$14:$BO$14</c:f>
              <c:numCache>
                <c:ptCount val="16"/>
                <c:pt idx="0">
                  <c:v>2.3148148148148875E-05</c:v>
                </c:pt>
                <c:pt idx="1">
                  <c:v>1.157407407407357E-05</c:v>
                </c:pt>
                <c:pt idx="2">
                  <c:v>3.472222222222071E-05</c:v>
                </c:pt>
                <c:pt idx="3">
                  <c:v>0</c:v>
                </c:pt>
                <c:pt idx="4">
                  <c:v>0</c:v>
                </c:pt>
                <c:pt idx="5">
                  <c:v>5.787037037037479E-05</c:v>
                </c:pt>
                <c:pt idx="6">
                  <c:v>0</c:v>
                </c:pt>
                <c:pt idx="7">
                  <c:v>0.001041666666666663</c:v>
                </c:pt>
                <c:pt idx="8">
                  <c:v>0.0013657407407407368</c:v>
                </c:pt>
                <c:pt idx="9">
                  <c:v>0.0008217592592592582</c:v>
                </c:pt>
                <c:pt idx="10">
                  <c:v>0.0006365740740740672</c:v>
                </c:pt>
                <c:pt idx="11">
                  <c:v>0.0007523148148148168</c:v>
                </c:pt>
                <c:pt idx="12">
                  <c:v>0.0008449074074074192</c:v>
                </c:pt>
                <c:pt idx="13">
                  <c:v>0.0007638888888888973</c:v>
                </c:pt>
                <c:pt idx="14">
                  <c:v>0.0009027777777777801</c:v>
                </c:pt>
                <c:pt idx="15">
                  <c:v>0.0009027777777777801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'Teams by Stage'!$AY$15</c:f>
              <c:strCache>
                <c:ptCount val="1"/>
                <c:pt idx="0">
                  <c:v>Wesfarmers Whippets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'Teams by Stage'!$AZ$10:$BO$10</c:f>
              <c:str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Adj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Adj</c:v>
                </c:pt>
              </c:strCache>
            </c:strRef>
          </c:cat>
          <c:val>
            <c:numRef>
              <c:f>'Teams by Stage'!$AZ$15:$BO$15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0.00018518518518518406</c:v>
                </c:pt>
                <c:pt idx="4">
                  <c:v>0.0001157407407407357</c:v>
                </c:pt>
                <c:pt idx="5">
                  <c:v>0</c:v>
                </c:pt>
                <c:pt idx="6">
                  <c:v>0.00019675925925925764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16486710"/>
        <c:axId val="14162663"/>
      </c:lineChart>
      <c:catAx>
        <c:axId val="16486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62663"/>
        <c:crosses val="autoZero"/>
        <c:auto val="1"/>
        <c:lblOffset val="100"/>
        <c:noMultiLvlLbl val="0"/>
      </c:catAx>
      <c:valAx>
        <c:axId val="14162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Minutes Behind Lead Team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8100">
            <a:solidFill/>
          </a:ln>
        </c:spPr>
        <c:crossAx val="16486710"/>
        <c:crossesAt val="1"/>
        <c:crossBetween val="between"/>
        <c:dispUnits/>
      </c:valAx>
      <c:spPr>
        <a:gradFill rotWithShape="1">
          <a:gsLst>
            <a:gs pos="0">
              <a:srgbClr val="FF6600"/>
            </a:gs>
            <a:gs pos="50000">
              <a:srgbClr val="FFCC99"/>
            </a:gs>
            <a:gs pos="100000">
              <a:srgbClr val="FF66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Chart 1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B3" sqref="B3:B4"/>
    </sheetView>
  </sheetViews>
  <sheetFormatPr defaultColWidth="9.140625" defaultRowHeight="12.75"/>
  <cols>
    <col min="1" max="1" width="3.421875" style="135" customWidth="1"/>
    <col min="2" max="2" width="29.8515625" style="136" customWidth="1"/>
    <col min="3" max="3" width="4.7109375" style="136" customWidth="1"/>
    <col min="4" max="4" width="20.7109375" style="135" customWidth="1"/>
    <col min="5" max="5" width="4.7109375" style="136" customWidth="1"/>
    <col min="6" max="6" width="20.7109375" style="135" customWidth="1"/>
    <col min="7" max="7" width="4.7109375" style="136" customWidth="1"/>
    <col min="8" max="8" width="20.7109375" style="135" customWidth="1"/>
    <col min="9" max="9" width="4.7109375" style="136" customWidth="1"/>
    <col min="10" max="10" width="20.7109375" style="135" customWidth="1"/>
    <col min="11" max="11" width="17.421875" style="135" customWidth="1"/>
    <col min="12" max="16" width="9.140625" style="135" customWidth="1"/>
    <col min="17" max="16384" width="9.140625" style="137" customWidth="1"/>
  </cols>
  <sheetData>
    <row r="1" spans="1:16" s="138" customFormat="1" ht="12.75">
      <c r="A1" s="31"/>
      <c r="B1" s="32"/>
      <c r="C1" s="32"/>
      <c r="D1" s="31"/>
      <c r="E1" s="32"/>
      <c r="F1" s="31"/>
      <c r="G1" s="32"/>
      <c r="H1" s="31"/>
      <c r="I1" s="32"/>
      <c r="J1" s="31"/>
      <c r="K1" s="31"/>
      <c r="L1" s="31"/>
      <c r="M1" s="31"/>
      <c r="N1" s="31"/>
      <c r="O1" s="31"/>
      <c r="P1" s="31"/>
    </row>
    <row r="2" spans="1:16" s="139" customFormat="1" ht="19.5" customHeight="1">
      <c r="A2" s="37"/>
      <c r="B2" s="39" t="s">
        <v>44</v>
      </c>
      <c r="C2" s="40" t="s">
        <v>4</v>
      </c>
      <c r="D2" s="40"/>
      <c r="E2" s="40" t="s">
        <v>1</v>
      </c>
      <c r="F2" s="40"/>
      <c r="G2" s="40" t="s">
        <v>2</v>
      </c>
      <c r="H2" s="40"/>
      <c r="I2" s="40" t="s">
        <v>3</v>
      </c>
      <c r="J2" s="40"/>
      <c r="K2" s="154" t="s">
        <v>61</v>
      </c>
      <c r="L2" s="37"/>
      <c r="M2" s="37"/>
      <c r="N2" s="37"/>
      <c r="O2" s="37"/>
      <c r="P2" s="37"/>
    </row>
    <row r="3" spans="1:16" s="140" customFormat="1" ht="18.75" customHeight="1">
      <c r="A3" s="38"/>
      <c r="B3" s="157" t="s">
        <v>82</v>
      </c>
      <c r="C3" s="152">
        <v>1</v>
      </c>
      <c r="D3" s="42" t="str">
        <f>VLOOKUP(C3,$I$10:$J$37,2,FALSE)</f>
        <v>Stephen Paine</v>
      </c>
      <c r="E3" s="41">
        <v>10</v>
      </c>
      <c r="F3" s="42" t="str">
        <f>VLOOKUP(E3,$I$10:$J$37,2,FALSE)</f>
        <v>Luke Gray</v>
      </c>
      <c r="G3" s="41">
        <v>11</v>
      </c>
      <c r="H3" s="42" t="str">
        <f>VLOOKUP(G3,$I$10:$J$37,2,FALSE)</f>
        <v>Anthony Mithen</v>
      </c>
      <c r="I3" s="41">
        <v>19</v>
      </c>
      <c r="J3" s="153" t="str">
        <f>VLOOKUP(I3,$I$10:$J$37,2,FALSE)</f>
        <v>Dale Nardella</v>
      </c>
      <c r="K3" s="155">
        <f>+C3+E3+G3+I3</f>
        <v>41</v>
      </c>
      <c r="L3" s="37"/>
      <c r="M3" s="38"/>
      <c r="N3" s="38"/>
      <c r="O3" s="38"/>
      <c r="P3" s="38"/>
    </row>
    <row r="4" spans="1:16" s="140" customFormat="1" ht="18.75" customHeight="1">
      <c r="A4" s="38"/>
      <c r="B4" s="157" t="s">
        <v>83</v>
      </c>
      <c r="C4" s="152">
        <v>2</v>
      </c>
      <c r="D4" s="42" t="str">
        <f>VLOOKUP(C4,$I$10:$J$37,2,FALSE)</f>
        <v>Patrick O'Keefe</v>
      </c>
      <c r="E4" s="41">
        <v>9</v>
      </c>
      <c r="F4" s="42" t="str">
        <f>VLOOKUP(E4,$I$10:$J$37,2,FALSE)</f>
        <v>Shane Fielding</v>
      </c>
      <c r="G4" s="41">
        <v>12</v>
      </c>
      <c r="H4" s="42" t="str">
        <f>VLOOKUP(G4,$I$10:$J$37,2,FALSE)</f>
        <v>Scott Lawrence</v>
      </c>
      <c r="I4" s="41">
        <v>20</v>
      </c>
      <c r="J4" s="153" t="str">
        <f>VLOOKUP(I4,$I$10:$J$37,2,FALSE)</f>
        <v>Gary O'Dwyer</v>
      </c>
      <c r="K4" s="155">
        <f>+C4+E4+G4+I4</f>
        <v>43</v>
      </c>
      <c r="L4" s="37"/>
      <c r="M4" s="38"/>
      <c r="N4" s="38"/>
      <c r="O4" s="38"/>
      <c r="P4" s="38"/>
    </row>
    <row r="5" spans="1:16" s="140" customFormat="1" ht="18.75" customHeight="1">
      <c r="A5" s="38"/>
      <c r="B5" s="157" t="s">
        <v>81</v>
      </c>
      <c r="C5" s="152">
        <v>3</v>
      </c>
      <c r="D5" s="42" t="str">
        <f>VLOOKUP(C5,$I$10:$J$37,2,FALSE)</f>
        <v>Luke Yeatman</v>
      </c>
      <c r="E5" s="41">
        <v>8</v>
      </c>
      <c r="F5" s="42" t="str">
        <f>VLOOKUP(E5,$I$10:$J$37,2,FALSE)</f>
        <v>Richard Does</v>
      </c>
      <c r="G5" s="41">
        <v>13</v>
      </c>
      <c r="H5" s="42" t="str">
        <f>VLOOKUP(G5,$I$10:$J$37,2,FALSE)</f>
        <v>Mike Bialczak</v>
      </c>
      <c r="I5" s="41">
        <v>18</v>
      </c>
      <c r="J5" s="153" t="str">
        <f>VLOOKUP(I5,$I$10:$J$37,2,FALSE)</f>
        <v>Craig Harris</v>
      </c>
      <c r="K5" s="155">
        <f>+C5+E5+G5+I5</f>
        <v>42</v>
      </c>
      <c r="L5" s="37"/>
      <c r="M5" s="38"/>
      <c r="N5" s="38"/>
      <c r="O5" s="38"/>
      <c r="P5" s="38"/>
    </row>
    <row r="6" spans="1:16" s="140" customFormat="1" ht="18.75" customHeight="1">
      <c r="A6" s="38"/>
      <c r="B6" s="157" t="s">
        <v>80</v>
      </c>
      <c r="C6" s="152">
        <v>4</v>
      </c>
      <c r="D6" s="42" t="str">
        <f>VLOOKUP(C6,$I$10:$J$37,2,FALSE)</f>
        <v>David Venour</v>
      </c>
      <c r="E6" s="41">
        <v>7</v>
      </c>
      <c r="F6" s="42" t="str">
        <f>VLOOKUP(E6,$I$10:$J$37,2,FALSE)</f>
        <v>Troy Williams</v>
      </c>
      <c r="G6" s="41">
        <v>14</v>
      </c>
      <c r="H6" s="42" t="str">
        <f>VLOOKUP(G6,$I$10:$J$37,2,FALSE)</f>
        <v>Paul Marsh</v>
      </c>
      <c r="I6" s="41">
        <v>15</v>
      </c>
      <c r="J6" s="153" t="str">
        <f>VLOOKUP(I6,$I$10:$J$37,2,FALSE)</f>
        <v>Matt Sandilands</v>
      </c>
      <c r="K6" s="155">
        <f>+C6+E6+G6+I6</f>
        <v>40</v>
      </c>
      <c r="L6" s="156"/>
      <c r="M6" s="38"/>
      <c r="N6" s="38"/>
      <c r="O6" s="38"/>
      <c r="P6" s="38"/>
    </row>
    <row r="7" spans="1:16" s="140" customFormat="1" ht="18.75" customHeight="1">
      <c r="A7" s="38"/>
      <c r="B7" s="157" t="s">
        <v>79</v>
      </c>
      <c r="C7" s="152">
        <v>5</v>
      </c>
      <c r="D7" s="42" t="str">
        <f>VLOOKUP(C7,$I$10:$J$37,2,FALSE)</f>
        <v>Andrew Coles</v>
      </c>
      <c r="E7" s="41">
        <v>6</v>
      </c>
      <c r="F7" s="42" t="str">
        <f>VLOOKUP(E7,$I$10:$J$37,2,FALSE)</f>
        <v>Colin Thornton</v>
      </c>
      <c r="G7" s="41">
        <v>16</v>
      </c>
      <c r="H7" s="42" t="str">
        <f>VLOOKUP(G7,$I$10:$J$37,2,FALSE)</f>
        <v>Mark Purvis</v>
      </c>
      <c r="I7" s="41">
        <v>17</v>
      </c>
      <c r="J7" s="153" t="str">
        <f>VLOOKUP(I7,$I$10:$J$37,2,FALSE)</f>
        <v>Glenn Goodman</v>
      </c>
      <c r="K7" s="155">
        <f>+C7+E7+G7+I7</f>
        <v>44</v>
      </c>
      <c r="L7" s="37"/>
      <c r="M7" s="38"/>
      <c r="N7" s="38"/>
      <c r="O7" s="38"/>
      <c r="P7" s="38"/>
    </row>
    <row r="8" spans="1:16" ht="12.75">
      <c r="A8" s="33"/>
      <c r="B8" s="43"/>
      <c r="C8" s="33"/>
      <c r="D8" s="33"/>
      <c r="E8" s="35"/>
      <c r="F8" s="33"/>
      <c r="G8" s="35"/>
      <c r="H8" s="33"/>
      <c r="I8" s="35"/>
      <c r="J8" s="33"/>
      <c r="K8" s="33"/>
      <c r="L8" s="33"/>
      <c r="M8" s="33"/>
      <c r="N8" s="33"/>
      <c r="O8" s="33"/>
      <c r="P8" s="33"/>
    </row>
    <row r="9" spans="1:16" ht="12.75">
      <c r="A9" s="33"/>
      <c r="B9" s="43"/>
      <c r="C9" s="33"/>
      <c r="D9" s="33"/>
      <c r="E9" s="35"/>
      <c r="F9" s="33"/>
      <c r="G9" s="35"/>
      <c r="H9" s="33"/>
      <c r="I9" s="161" t="s">
        <v>60</v>
      </c>
      <c r="J9" s="161"/>
      <c r="K9" s="33"/>
      <c r="L9" s="33"/>
      <c r="M9" s="33"/>
      <c r="N9" s="33"/>
      <c r="O9" s="33"/>
      <c r="P9" s="33"/>
    </row>
    <row r="10" spans="1:16" ht="12.75">
      <c r="A10" s="33"/>
      <c r="B10" s="43"/>
      <c r="C10" s="33"/>
      <c r="D10" s="33"/>
      <c r="E10" s="35"/>
      <c r="F10" s="33"/>
      <c r="G10" s="35"/>
      <c r="H10" s="33"/>
      <c r="I10" s="44">
        <v>1</v>
      </c>
      <c r="J10" s="45" t="s">
        <v>65</v>
      </c>
      <c r="K10" s="33"/>
      <c r="L10" s="33"/>
      <c r="M10" s="33"/>
      <c r="N10" s="33"/>
      <c r="O10" s="33"/>
      <c r="P10" s="33"/>
    </row>
    <row r="11" spans="1:16" ht="12.75">
      <c r="A11" s="33"/>
      <c r="B11" s="43"/>
      <c r="C11" s="33"/>
      <c r="D11" s="33"/>
      <c r="E11" s="35"/>
      <c r="F11" s="33"/>
      <c r="G11" s="35"/>
      <c r="H11" s="33"/>
      <c r="I11" s="44">
        <v>2</v>
      </c>
      <c r="J11" s="45" t="s">
        <v>68</v>
      </c>
      <c r="K11" s="33"/>
      <c r="L11" s="33"/>
      <c r="M11" s="33"/>
      <c r="N11" s="33"/>
      <c r="O11" s="33"/>
      <c r="P11" s="33"/>
    </row>
    <row r="12" spans="1:16" ht="12.75">
      <c r="A12" s="33"/>
      <c r="B12" s="43"/>
      <c r="C12" s="33"/>
      <c r="D12" s="33"/>
      <c r="E12" s="35"/>
      <c r="F12" s="33"/>
      <c r="G12" s="35"/>
      <c r="H12" s="33"/>
      <c r="I12" s="44">
        <v>3</v>
      </c>
      <c r="J12" s="45" t="s">
        <v>70</v>
      </c>
      <c r="K12" s="33"/>
      <c r="L12" s="33"/>
      <c r="M12" s="33"/>
      <c r="N12" s="33"/>
      <c r="O12" s="33"/>
      <c r="P12" s="33"/>
    </row>
    <row r="13" spans="1:16" ht="12.75">
      <c r="A13" s="33"/>
      <c r="B13" s="43"/>
      <c r="C13" s="33"/>
      <c r="D13" s="33"/>
      <c r="E13" s="35"/>
      <c r="F13" s="33"/>
      <c r="G13" s="35"/>
      <c r="H13" s="33"/>
      <c r="I13" s="44">
        <v>4</v>
      </c>
      <c r="J13" s="45" t="s">
        <v>55</v>
      </c>
      <c r="K13" s="33"/>
      <c r="L13" s="33"/>
      <c r="M13" s="33"/>
      <c r="N13" s="33"/>
      <c r="O13" s="33"/>
      <c r="P13" s="33"/>
    </row>
    <row r="14" spans="1:16" ht="12.75">
      <c r="A14" s="33"/>
      <c r="B14" s="43"/>
      <c r="C14" s="33"/>
      <c r="D14" s="33"/>
      <c r="E14" s="35"/>
      <c r="F14" s="33"/>
      <c r="G14" s="35"/>
      <c r="H14" s="33"/>
      <c r="I14" s="44">
        <v>5</v>
      </c>
      <c r="J14" s="45" t="s">
        <v>71</v>
      </c>
      <c r="K14" s="33"/>
      <c r="L14" s="33"/>
      <c r="M14" s="33"/>
      <c r="N14" s="33"/>
      <c r="O14" s="33"/>
      <c r="P14" s="33"/>
    </row>
    <row r="15" spans="1:16" ht="12.75">
      <c r="A15" s="33"/>
      <c r="B15" s="43"/>
      <c r="C15" s="33"/>
      <c r="D15" s="33"/>
      <c r="E15" s="35"/>
      <c r="F15" s="33"/>
      <c r="G15" s="35"/>
      <c r="H15" s="33"/>
      <c r="I15" s="44">
        <v>6</v>
      </c>
      <c r="J15" s="45" t="s">
        <v>72</v>
      </c>
      <c r="K15" s="33"/>
      <c r="L15" s="33"/>
      <c r="M15" s="33"/>
      <c r="N15" s="33"/>
      <c r="O15" s="33"/>
      <c r="P15" s="33"/>
    </row>
    <row r="16" spans="1:16" ht="12.75">
      <c r="A16" s="33"/>
      <c r="B16" s="43"/>
      <c r="C16" s="33"/>
      <c r="D16" s="33"/>
      <c r="E16" s="35"/>
      <c r="F16" s="33"/>
      <c r="G16" s="35"/>
      <c r="H16" s="33"/>
      <c r="I16" s="44">
        <v>7</v>
      </c>
      <c r="J16" s="45" t="s">
        <v>56</v>
      </c>
      <c r="K16" s="45"/>
      <c r="L16" s="33"/>
      <c r="M16" s="33"/>
      <c r="N16" s="33"/>
      <c r="O16" s="33"/>
      <c r="P16" s="33"/>
    </row>
    <row r="17" spans="1:16" ht="12.75">
      <c r="A17" s="33"/>
      <c r="B17" s="43"/>
      <c r="C17" s="33"/>
      <c r="D17" s="33"/>
      <c r="E17" s="35"/>
      <c r="F17" s="33"/>
      <c r="G17" s="35"/>
      <c r="H17" s="33"/>
      <c r="I17" s="44">
        <v>8</v>
      </c>
      <c r="J17" s="45" t="s">
        <v>73</v>
      </c>
      <c r="K17" s="33"/>
      <c r="L17" s="33"/>
      <c r="M17" s="33"/>
      <c r="N17" s="33"/>
      <c r="O17" s="33"/>
      <c r="P17" s="33"/>
    </row>
    <row r="18" spans="1:16" ht="12.75">
      <c r="A18" s="33"/>
      <c r="B18" s="43"/>
      <c r="C18" s="33"/>
      <c r="D18" s="33"/>
      <c r="E18" s="35"/>
      <c r="F18" s="33"/>
      <c r="G18" s="35"/>
      <c r="H18" s="33"/>
      <c r="I18" s="44">
        <v>9</v>
      </c>
      <c r="J18" s="45" t="s">
        <v>74</v>
      </c>
      <c r="K18" s="45"/>
      <c r="L18" s="33"/>
      <c r="M18" s="33"/>
      <c r="N18" s="33"/>
      <c r="O18" s="33"/>
      <c r="P18" s="33"/>
    </row>
    <row r="19" spans="1:16" ht="12.75">
      <c r="A19" s="33"/>
      <c r="B19" s="43"/>
      <c r="C19" s="33"/>
      <c r="D19" s="33"/>
      <c r="E19" s="35"/>
      <c r="F19" s="33"/>
      <c r="G19" s="35"/>
      <c r="H19" s="33"/>
      <c r="I19" s="44">
        <v>10</v>
      </c>
      <c r="J19" s="45" t="s">
        <v>75</v>
      </c>
      <c r="K19" s="33"/>
      <c r="L19" s="33"/>
      <c r="M19" s="33"/>
      <c r="N19" s="33"/>
      <c r="O19" s="33"/>
      <c r="P19" s="33"/>
    </row>
    <row r="20" spans="1:16" ht="12.75">
      <c r="A20" s="33"/>
      <c r="B20" s="43"/>
      <c r="C20" s="33"/>
      <c r="D20" s="33"/>
      <c r="E20" s="35"/>
      <c r="F20" s="33"/>
      <c r="G20" s="35"/>
      <c r="H20" s="33"/>
      <c r="I20" s="44">
        <v>11</v>
      </c>
      <c r="J20" s="45" t="s">
        <v>57</v>
      </c>
      <c r="K20" s="45"/>
      <c r="L20" s="33"/>
      <c r="M20" s="33"/>
      <c r="N20" s="33"/>
      <c r="O20" s="33"/>
      <c r="P20" s="33"/>
    </row>
    <row r="21" spans="1:16" ht="12.75">
      <c r="A21" s="33"/>
      <c r="B21" s="43"/>
      <c r="C21" s="33"/>
      <c r="D21" s="33"/>
      <c r="E21" s="35"/>
      <c r="F21" s="33"/>
      <c r="G21" s="35"/>
      <c r="H21" s="33"/>
      <c r="I21" s="44">
        <v>12</v>
      </c>
      <c r="J21" s="45" t="s">
        <v>76</v>
      </c>
      <c r="K21" s="33"/>
      <c r="L21" s="33"/>
      <c r="M21" s="33"/>
      <c r="N21" s="33"/>
      <c r="O21" s="33"/>
      <c r="P21" s="33"/>
    </row>
    <row r="22" spans="1:16" ht="12.75">
      <c r="A22" s="33"/>
      <c r="B22" s="34"/>
      <c r="C22" s="35"/>
      <c r="D22" s="33"/>
      <c r="E22" s="35"/>
      <c r="F22" s="33"/>
      <c r="G22" s="35"/>
      <c r="H22" s="33"/>
      <c r="I22" s="44">
        <v>13</v>
      </c>
      <c r="J22" s="45" t="s">
        <v>69</v>
      </c>
      <c r="K22" s="45"/>
      <c r="L22" s="33"/>
      <c r="M22" s="33"/>
      <c r="N22" s="33"/>
      <c r="O22" s="33"/>
      <c r="P22" s="33"/>
    </row>
    <row r="23" spans="1:16" ht="12.75">
      <c r="A23" s="33"/>
      <c r="B23" s="34"/>
      <c r="C23" s="35"/>
      <c r="D23" s="33"/>
      <c r="E23" s="35"/>
      <c r="F23" s="33"/>
      <c r="G23" s="35"/>
      <c r="H23" s="33"/>
      <c r="I23" s="44">
        <v>14</v>
      </c>
      <c r="J23" s="45" t="s">
        <v>67</v>
      </c>
      <c r="K23" s="45"/>
      <c r="L23" s="33"/>
      <c r="M23" s="33"/>
      <c r="N23" s="33"/>
      <c r="O23" s="33"/>
      <c r="P23" s="33"/>
    </row>
    <row r="24" spans="1:16" ht="12.75">
      <c r="A24" s="33"/>
      <c r="B24" s="34"/>
      <c r="C24" s="35"/>
      <c r="D24" s="33"/>
      <c r="E24" s="35"/>
      <c r="F24" s="33"/>
      <c r="G24" s="35"/>
      <c r="H24" s="33"/>
      <c r="I24" s="44">
        <v>15</v>
      </c>
      <c r="J24" s="45" t="s">
        <v>58</v>
      </c>
      <c r="K24" s="33"/>
      <c r="L24" s="33"/>
      <c r="M24" s="33"/>
      <c r="N24" s="33"/>
      <c r="O24" s="33"/>
      <c r="P24" s="33"/>
    </row>
    <row r="25" spans="1:16" ht="12.75">
      <c r="A25" s="33"/>
      <c r="B25" s="35"/>
      <c r="C25" s="35"/>
      <c r="D25" s="33"/>
      <c r="E25" s="35"/>
      <c r="F25" s="33"/>
      <c r="G25" s="35"/>
      <c r="H25" s="33"/>
      <c r="I25" s="44">
        <v>16</v>
      </c>
      <c r="J25" s="45" t="s">
        <v>77</v>
      </c>
      <c r="K25" s="45"/>
      <c r="L25" s="33"/>
      <c r="M25" s="33"/>
      <c r="N25" s="33"/>
      <c r="O25" s="33"/>
      <c r="P25" s="33"/>
    </row>
    <row r="26" spans="1:16" ht="12.75">
      <c r="A26" s="33"/>
      <c r="B26" s="35"/>
      <c r="C26" s="35"/>
      <c r="D26" s="33"/>
      <c r="E26" s="35"/>
      <c r="F26" s="33"/>
      <c r="G26" s="35"/>
      <c r="H26" s="33"/>
      <c r="I26" s="44">
        <v>17</v>
      </c>
      <c r="J26" s="45" t="s">
        <v>66</v>
      </c>
      <c r="K26" s="33"/>
      <c r="L26" s="33"/>
      <c r="M26" s="33"/>
      <c r="N26" s="33"/>
      <c r="O26" s="33"/>
      <c r="P26" s="33"/>
    </row>
    <row r="27" spans="1:16" ht="12.75">
      <c r="A27" s="33"/>
      <c r="B27" s="35"/>
      <c r="C27" s="35"/>
      <c r="D27" s="33"/>
      <c r="E27" s="35"/>
      <c r="F27" s="33"/>
      <c r="G27" s="35"/>
      <c r="H27" s="33"/>
      <c r="I27" s="44">
        <v>18</v>
      </c>
      <c r="J27" s="45" t="s">
        <v>64</v>
      </c>
      <c r="K27" s="33"/>
      <c r="L27" s="33"/>
      <c r="M27" s="33"/>
      <c r="N27" s="33"/>
      <c r="O27" s="33"/>
      <c r="P27" s="33"/>
    </row>
    <row r="28" spans="1:16" ht="12.75">
      <c r="A28" s="33"/>
      <c r="B28" s="35"/>
      <c r="C28" s="35"/>
      <c r="D28" s="33"/>
      <c r="E28" s="35"/>
      <c r="F28" s="33"/>
      <c r="G28" s="35"/>
      <c r="H28" s="33"/>
      <c r="I28" s="44">
        <v>19</v>
      </c>
      <c r="J28" s="45" t="s">
        <v>78</v>
      </c>
      <c r="K28" s="33"/>
      <c r="L28" s="33"/>
      <c r="M28" s="33"/>
      <c r="N28" s="33"/>
      <c r="O28" s="33"/>
      <c r="P28" s="33"/>
    </row>
    <row r="29" spans="1:16" ht="12.75">
      <c r="A29" s="33"/>
      <c r="B29" s="35"/>
      <c r="C29" s="35"/>
      <c r="D29" s="36"/>
      <c r="E29" s="35"/>
      <c r="F29" s="36"/>
      <c r="G29" s="35"/>
      <c r="H29" s="33"/>
      <c r="I29" s="44">
        <v>20</v>
      </c>
      <c r="J29" s="45" t="s">
        <v>54</v>
      </c>
      <c r="K29" s="33"/>
      <c r="L29" s="33"/>
      <c r="M29" s="33"/>
      <c r="N29" s="33"/>
      <c r="O29" s="33"/>
      <c r="P29" s="33"/>
    </row>
    <row r="30" spans="1:16" ht="12.75">
      <c r="A30" s="33"/>
      <c r="B30" s="35"/>
      <c r="C30" s="35"/>
      <c r="D30" s="36"/>
      <c r="E30" s="35"/>
      <c r="F30" s="36"/>
      <c r="G30" s="35"/>
      <c r="H30" s="33"/>
      <c r="I30" s="44"/>
      <c r="J30" s="45"/>
      <c r="K30" s="33"/>
      <c r="L30" s="33"/>
      <c r="M30" s="33"/>
      <c r="N30" s="33"/>
      <c r="O30" s="33"/>
      <c r="P30" s="33"/>
    </row>
    <row r="31" spans="1:16" ht="12.75">
      <c r="A31" s="33"/>
      <c r="B31" s="35"/>
      <c r="C31" s="35"/>
      <c r="D31" s="36"/>
      <c r="E31" s="35"/>
      <c r="F31" s="36"/>
      <c r="G31" s="35"/>
      <c r="H31" s="33"/>
      <c r="I31" s="44"/>
      <c r="J31" s="45"/>
      <c r="K31" s="33"/>
      <c r="L31" s="33"/>
      <c r="M31" s="33"/>
      <c r="N31" s="33"/>
      <c r="O31" s="33"/>
      <c r="P31" s="33"/>
    </row>
    <row r="32" spans="1:16" ht="12.75">
      <c r="A32" s="33"/>
      <c r="B32" s="35"/>
      <c r="C32" s="35"/>
      <c r="D32" s="36"/>
      <c r="E32" s="35"/>
      <c r="F32" s="36"/>
      <c r="G32" s="35"/>
      <c r="H32" s="33"/>
      <c r="I32" s="44"/>
      <c r="J32" s="45"/>
      <c r="K32" s="33"/>
      <c r="L32" s="33"/>
      <c r="M32" s="33"/>
      <c r="N32" s="33"/>
      <c r="O32" s="33"/>
      <c r="P32" s="33"/>
    </row>
    <row r="33" spans="1:16" ht="12.75">
      <c r="A33" s="33"/>
      <c r="B33" s="35"/>
      <c r="C33" s="35"/>
      <c r="D33" s="36"/>
      <c r="E33" s="35"/>
      <c r="F33" s="36"/>
      <c r="G33" s="35"/>
      <c r="H33" s="33"/>
      <c r="I33" s="44"/>
      <c r="J33" s="45"/>
      <c r="K33" s="33"/>
      <c r="L33" s="33"/>
      <c r="M33" s="33"/>
      <c r="N33" s="33"/>
      <c r="O33" s="33"/>
      <c r="P33" s="33"/>
    </row>
    <row r="34" spans="1:16" ht="12.75">
      <c r="A34" s="33"/>
      <c r="B34" s="35"/>
      <c r="C34" s="35"/>
      <c r="D34" s="36"/>
      <c r="E34" s="35"/>
      <c r="F34" s="36"/>
      <c r="G34" s="35"/>
      <c r="H34" s="33"/>
      <c r="I34" s="44"/>
      <c r="J34" s="45"/>
      <c r="K34" s="33"/>
      <c r="L34" s="33"/>
      <c r="M34" s="33"/>
      <c r="N34" s="33"/>
      <c r="O34" s="33"/>
      <c r="P34" s="33"/>
    </row>
    <row r="35" spans="1:16" ht="12.75">
      <c r="A35" s="33"/>
      <c r="B35" s="35"/>
      <c r="C35" s="35"/>
      <c r="D35" s="33"/>
      <c r="E35" s="35"/>
      <c r="F35" s="33"/>
      <c r="G35" s="35"/>
      <c r="H35" s="33"/>
      <c r="I35" s="44"/>
      <c r="J35" s="45"/>
      <c r="K35" s="33"/>
      <c r="L35" s="33"/>
      <c r="M35" s="33"/>
      <c r="N35" s="33"/>
      <c r="O35" s="33"/>
      <c r="P35" s="33"/>
    </row>
    <row r="36" spans="1:16" ht="12.75">
      <c r="A36" s="33"/>
      <c r="B36" s="35"/>
      <c r="C36" s="35"/>
      <c r="D36" s="33"/>
      <c r="E36" s="35"/>
      <c r="F36" s="33"/>
      <c r="G36" s="35"/>
      <c r="H36" s="33"/>
      <c r="I36" s="44"/>
      <c r="J36" s="45"/>
      <c r="K36" s="33"/>
      <c r="L36" s="33"/>
      <c r="M36" s="33"/>
      <c r="N36" s="33"/>
      <c r="O36" s="33"/>
      <c r="P36" s="33"/>
    </row>
    <row r="37" spans="1:16" ht="12.75">
      <c r="A37" s="33"/>
      <c r="B37" s="35"/>
      <c r="C37" s="35"/>
      <c r="D37" s="33"/>
      <c r="E37" s="35"/>
      <c r="F37" s="33"/>
      <c r="G37" s="35"/>
      <c r="H37" s="33"/>
      <c r="I37" s="44"/>
      <c r="J37" s="45"/>
      <c r="K37" s="33"/>
      <c r="L37" s="33"/>
      <c r="M37" s="33"/>
      <c r="N37" s="33"/>
      <c r="O37" s="33"/>
      <c r="P37" s="33"/>
    </row>
    <row r="38" spans="1:16" ht="12.75">
      <c r="A38" s="33"/>
      <c r="B38" s="35"/>
      <c r="C38" s="35"/>
      <c r="D38" s="33"/>
      <c r="E38" s="35"/>
      <c r="F38" s="33"/>
      <c r="G38" s="35"/>
      <c r="H38" s="33"/>
      <c r="I38" s="35"/>
      <c r="J38" s="33"/>
      <c r="K38" s="33"/>
      <c r="L38" s="33"/>
      <c r="M38" s="33"/>
      <c r="N38" s="33"/>
      <c r="O38" s="33"/>
      <c r="P38" s="33"/>
    </row>
    <row r="39" spans="1:16" ht="12.75">
      <c r="A39" s="33"/>
      <c r="B39" s="35"/>
      <c r="C39" s="35"/>
      <c r="D39" s="33"/>
      <c r="E39" s="35"/>
      <c r="F39" s="33"/>
      <c r="G39" s="35"/>
      <c r="H39" s="33"/>
      <c r="I39" s="35"/>
      <c r="J39" s="33"/>
      <c r="K39" s="33"/>
      <c r="L39" s="33"/>
      <c r="M39" s="33"/>
      <c r="N39" s="33"/>
      <c r="O39" s="33"/>
      <c r="P39" s="33"/>
    </row>
    <row r="40" spans="1:16" ht="12.75">
      <c r="A40" s="33"/>
      <c r="B40" s="35"/>
      <c r="C40" s="35"/>
      <c r="D40" s="33"/>
      <c r="E40" s="35"/>
      <c r="F40" s="33"/>
      <c r="G40" s="35"/>
      <c r="H40" s="33"/>
      <c r="I40" s="35"/>
      <c r="J40" s="33"/>
      <c r="K40" s="33"/>
      <c r="L40" s="33"/>
      <c r="M40" s="33"/>
      <c r="N40" s="33"/>
      <c r="O40" s="33"/>
      <c r="P40" s="33"/>
    </row>
    <row r="41" spans="1:16" ht="12.75">
      <c r="A41" s="33"/>
      <c r="B41" s="35"/>
      <c r="C41" s="35"/>
      <c r="D41" s="33"/>
      <c r="E41" s="35"/>
      <c r="F41" s="33"/>
      <c r="G41" s="35"/>
      <c r="H41" s="33"/>
      <c r="I41" s="35"/>
      <c r="J41" s="33"/>
      <c r="K41" s="33"/>
      <c r="L41" s="33"/>
      <c r="M41" s="33"/>
      <c r="N41" s="33"/>
      <c r="O41" s="33"/>
      <c r="P41" s="33"/>
    </row>
  </sheetData>
  <mergeCells count="1">
    <mergeCell ref="I9:J9"/>
  </mergeCells>
  <dataValidations count="1">
    <dataValidation type="list" allowBlank="1" showInputMessage="1" showErrorMessage="1" promptTitle="Select Runner" prompt="from list" sqref="J8:J9">
      <formula1>$D$8:$D$24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N77"/>
  <sheetViews>
    <sheetView tabSelected="1" zoomScale="75" zoomScaleNormal="75" workbookViewId="0" topLeftCell="A1">
      <pane xSplit="7" topLeftCell="H1" activePane="topRight" state="frozen"/>
      <selection pane="topLeft" activeCell="A1" sqref="A1"/>
      <selection pane="topRight" activeCell="AT22" sqref="AT22"/>
    </sheetView>
  </sheetViews>
  <sheetFormatPr defaultColWidth="9.140625" defaultRowHeight="12.75"/>
  <cols>
    <col min="1" max="1" width="24.140625" style="54" customWidth="1"/>
    <col min="2" max="2" width="9.7109375" style="55" customWidth="1"/>
    <col min="3" max="3" width="4.7109375" style="56" customWidth="1"/>
    <col min="4" max="4" width="1.7109375" style="57" customWidth="1"/>
    <col min="5" max="5" width="9.7109375" style="55" customWidth="1"/>
    <col min="6" max="6" width="4.7109375" style="55" customWidth="1"/>
    <col min="7" max="7" width="1.7109375" style="57" customWidth="1"/>
    <col min="8" max="8" width="15.7109375" style="57" customWidth="1"/>
    <col min="9" max="9" width="5.7109375" style="60" customWidth="1"/>
    <col min="10" max="10" width="5.7109375" style="57" customWidth="1"/>
    <col min="11" max="11" width="5.7109375" style="59" customWidth="1"/>
    <col min="12" max="12" width="1.7109375" style="57" customWidth="1"/>
    <col min="13" max="13" width="15.7109375" style="57" customWidth="1"/>
    <col min="14" max="14" width="5.7109375" style="60" customWidth="1"/>
    <col min="15" max="15" width="5.7109375" style="57" customWidth="1"/>
    <col min="16" max="16" width="5.7109375" style="59" customWidth="1"/>
    <col min="17" max="17" width="1.7109375" style="57" customWidth="1"/>
    <col min="18" max="18" width="21.421875" style="127" hidden="1" customWidth="1"/>
    <col min="19" max="19" width="8.8515625" style="130" hidden="1" customWidth="1"/>
    <col min="20" max="20" width="10.140625" style="127" hidden="1" customWidth="1"/>
    <col min="21" max="21" width="7.7109375" style="129" hidden="1" customWidth="1"/>
    <col min="22" max="22" width="6.28125" style="57" customWidth="1"/>
    <col min="23" max="23" width="15.7109375" style="57" customWidth="1"/>
    <col min="24" max="24" width="5.7109375" style="60" customWidth="1"/>
    <col min="25" max="25" width="5.7109375" style="57" customWidth="1"/>
    <col min="26" max="26" width="5.7109375" style="59" customWidth="1"/>
    <col min="27" max="27" width="1.7109375" style="57" customWidth="1"/>
    <col min="28" max="28" width="15.7109375" style="57" customWidth="1"/>
    <col min="29" max="29" width="5.7109375" style="60" customWidth="1"/>
    <col min="30" max="30" width="5.7109375" style="57" customWidth="1"/>
    <col min="31" max="31" width="5.7109375" style="59" customWidth="1"/>
    <col min="32" max="32" width="1.7109375" style="57" customWidth="1"/>
    <col min="33" max="33" width="15.7109375" style="57" customWidth="1"/>
    <col min="34" max="34" width="5.7109375" style="60" customWidth="1"/>
    <col min="35" max="35" width="5.7109375" style="57" customWidth="1"/>
    <col min="36" max="36" width="5.7109375" style="59" customWidth="1"/>
    <col min="37" max="37" width="1.7109375" style="57" customWidth="1"/>
    <col min="38" max="38" width="15.7109375" style="57" customWidth="1"/>
    <col min="39" max="39" width="5.7109375" style="60" customWidth="1"/>
    <col min="40" max="40" width="5.7109375" style="57" customWidth="1"/>
    <col min="41" max="41" width="5.7109375" style="59" customWidth="1"/>
    <col min="42" max="42" width="1.7109375" style="57" customWidth="1"/>
    <col min="43" max="43" width="15.7109375" style="57" customWidth="1"/>
    <col min="44" max="44" width="5.7109375" style="60" customWidth="1"/>
    <col min="45" max="45" width="5.7109375" style="57" customWidth="1"/>
    <col min="46" max="46" width="5.7109375" style="59" customWidth="1"/>
    <col min="47" max="47" width="1.7109375" style="57" customWidth="1"/>
    <col min="48" max="48" width="15.7109375" style="57" customWidth="1"/>
    <col min="49" max="49" width="5.7109375" style="60" customWidth="1"/>
    <col min="50" max="50" width="5.7109375" style="57" customWidth="1"/>
    <col min="51" max="51" width="5.7109375" style="59" customWidth="1"/>
    <col min="52" max="53" width="1.7109375" style="57" customWidth="1"/>
    <col min="54" max="54" width="23.421875" style="57" customWidth="1"/>
    <col min="55" max="55" width="5.7109375" style="60" customWidth="1"/>
    <col min="56" max="56" width="5.7109375" style="57" customWidth="1"/>
    <col min="57" max="57" width="5.7109375" style="59" customWidth="1"/>
    <col min="58" max="58" width="1.7109375" style="57" customWidth="1"/>
    <col min="59" max="59" width="16.7109375" style="57" customWidth="1"/>
    <col min="60" max="60" width="6.7109375" style="60" customWidth="1"/>
    <col min="61" max="61" width="6.7109375" style="57" customWidth="1"/>
    <col min="62" max="62" width="6.7109375" style="59" customWidth="1"/>
    <col min="63" max="63" width="1.7109375" style="57" customWidth="1"/>
    <col min="64" max="64" width="16.7109375" style="57" customWidth="1"/>
    <col min="65" max="65" width="6.7109375" style="60" customWidth="1"/>
    <col min="66" max="66" width="6.7109375" style="57" customWidth="1"/>
    <col min="67" max="67" width="6.7109375" style="59" customWidth="1"/>
    <col min="68" max="68" width="1.7109375" style="57" customWidth="1"/>
    <col min="69" max="69" width="16.7109375" style="57" customWidth="1"/>
    <col min="70" max="70" width="6.7109375" style="60" customWidth="1"/>
    <col min="71" max="71" width="6.7109375" style="57" customWidth="1"/>
    <col min="72" max="72" width="6.7109375" style="59" customWidth="1"/>
    <col min="73" max="73" width="1.7109375" style="57" customWidth="1"/>
    <col min="74" max="74" width="16.7109375" style="57" customWidth="1"/>
    <col min="75" max="75" width="6.7109375" style="60" customWidth="1"/>
    <col min="76" max="76" width="6.7109375" style="57" customWidth="1"/>
    <col min="77" max="77" width="6.7109375" style="59" customWidth="1"/>
    <col min="78" max="78" width="1.7109375" style="57" customWidth="1"/>
    <col min="79" max="79" width="16.7109375" style="57" customWidth="1"/>
    <col min="80" max="80" width="6.7109375" style="60" customWidth="1"/>
    <col min="81" max="81" width="6.7109375" style="57" customWidth="1"/>
    <col min="82" max="82" width="6.7109375" style="59" customWidth="1"/>
    <col min="83" max="83" width="1.7109375" style="57" customWidth="1"/>
    <col min="84" max="84" width="16.7109375" style="57" customWidth="1"/>
    <col min="85" max="85" width="6.7109375" style="60" customWidth="1"/>
    <col min="86" max="86" width="6.7109375" style="57" customWidth="1"/>
    <col min="87" max="87" width="6.7109375" style="59" customWidth="1"/>
    <col min="88" max="88" width="1.7109375" style="57" customWidth="1"/>
    <col min="89" max="89" width="16.7109375" style="57" customWidth="1"/>
    <col min="90" max="90" width="6.7109375" style="60" customWidth="1"/>
    <col min="91" max="91" width="6.7109375" style="57" customWidth="1"/>
    <col min="92" max="92" width="6.7109375" style="59" customWidth="1"/>
    <col min="93" max="93" width="1.7109375" style="57" customWidth="1"/>
    <col min="94" max="16384" width="9.140625" style="57" customWidth="1"/>
  </cols>
  <sheetData>
    <row r="2" spans="1:92" s="76" customFormat="1" ht="19.5" customHeight="1">
      <c r="A2" s="75"/>
      <c r="B2" s="46"/>
      <c r="C2" s="47"/>
      <c r="E2" s="46"/>
      <c r="F2" s="46"/>
      <c r="H2" s="62" t="s">
        <v>45</v>
      </c>
      <c r="I2" s="67">
        <v>3</v>
      </c>
      <c r="J2" s="68" t="s">
        <v>9</v>
      </c>
      <c r="K2" s="83" t="s">
        <v>11</v>
      </c>
      <c r="M2" s="62" t="s">
        <v>46</v>
      </c>
      <c r="N2" s="67">
        <f>Dist1</f>
        <v>3</v>
      </c>
      <c r="O2" s="68" t="s">
        <v>9</v>
      </c>
      <c r="P2" s="83" t="s">
        <v>11</v>
      </c>
      <c r="R2" s="115" t="s">
        <v>5</v>
      </c>
      <c r="S2" s="116">
        <f>Dist1</f>
        <v>3</v>
      </c>
      <c r="T2" s="117" t="s">
        <v>9</v>
      </c>
      <c r="U2" s="118" t="s">
        <v>11</v>
      </c>
      <c r="W2" s="62" t="s">
        <v>12</v>
      </c>
      <c r="X2" s="67">
        <v>3.6</v>
      </c>
      <c r="Y2" s="68" t="s">
        <v>9</v>
      </c>
      <c r="Z2" s="83" t="s">
        <v>11</v>
      </c>
      <c r="AB2" s="62" t="s">
        <v>13</v>
      </c>
      <c r="AC2" s="67">
        <v>3.9</v>
      </c>
      <c r="AD2" s="68" t="s">
        <v>9</v>
      </c>
      <c r="AE2" s="83" t="s">
        <v>11</v>
      </c>
      <c r="AG2" s="62" t="s">
        <v>14</v>
      </c>
      <c r="AH2" s="67">
        <v>4.2</v>
      </c>
      <c r="AI2" s="68" t="s">
        <v>9</v>
      </c>
      <c r="AJ2" s="83" t="s">
        <v>11</v>
      </c>
      <c r="AL2" s="62" t="s">
        <v>15</v>
      </c>
      <c r="AM2" s="67">
        <v>4.7</v>
      </c>
      <c r="AN2" s="68" t="s">
        <v>9</v>
      </c>
      <c r="AO2" s="83" t="s">
        <v>11</v>
      </c>
      <c r="AQ2" s="62" t="s">
        <v>16</v>
      </c>
      <c r="AR2" s="67">
        <v>3.25</v>
      </c>
      <c r="AS2" s="68" t="s">
        <v>9</v>
      </c>
      <c r="AT2" s="83" t="s">
        <v>11</v>
      </c>
      <c r="AV2" s="62" t="s">
        <v>17</v>
      </c>
      <c r="AW2" s="67">
        <v>3.7</v>
      </c>
      <c r="AX2" s="68" t="s">
        <v>9</v>
      </c>
      <c r="AY2" s="83" t="s">
        <v>11</v>
      </c>
      <c r="BB2" s="62" t="s">
        <v>85</v>
      </c>
      <c r="BC2" s="60"/>
      <c r="BD2" s="49"/>
      <c r="BE2" s="50"/>
      <c r="BH2" s="77"/>
      <c r="BJ2" s="78"/>
      <c r="BM2" s="77"/>
      <c r="BO2" s="78"/>
      <c r="BR2" s="77"/>
      <c r="BT2" s="78"/>
      <c r="BW2" s="77"/>
      <c r="BY2" s="78"/>
      <c r="CB2" s="77"/>
      <c r="CD2" s="78"/>
      <c r="CG2" s="77"/>
      <c r="CI2" s="78"/>
      <c r="CL2" s="77"/>
      <c r="CN2" s="78"/>
    </row>
    <row r="3" spans="1:92" s="76" customFormat="1" ht="19.5" customHeight="1">
      <c r="A3" s="61" t="s">
        <v>0</v>
      </c>
      <c r="B3" s="62" t="s">
        <v>19</v>
      </c>
      <c r="C3" s="63" t="s">
        <v>10</v>
      </c>
      <c r="E3" s="62" t="s">
        <v>20</v>
      </c>
      <c r="F3" s="63" t="s">
        <v>10</v>
      </c>
      <c r="H3" s="69" t="s">
        <v>6</v>
      </c>
      <c r="I3" s="70" t="s">
        <v>7</v>
      </c>
      <c r="J3" s="84" t="s">
        <v>8</v>
      </c>
      <c r="K3" s="85" t="s">
        <v>10</v>
      </c>
      <c r="M3" s="69" t="s">
        <v>6</v>
      </c>
      <c r="N3" s="70" t="s">
        <v>7</v>
      </c>
      <c r="O3" s="84" t="s">
        <v>8</v>
      </c>
      <c r="P3" s="85" t="s">
        <v>10</v>
      </c>
      <c r="R3" s="119" t="s">
        <v>53</v>
      </c>
      <c r="S3" s="120" t="s">
        <v>7</v>
      </c>
      <c r="T3" s="121" t="s">
        <v>8</v>
      </c>
      <c r="U3" s="122" t="s">
        <v>10</v>
      </c>
      <c r="W3" s="69" t="s">
        <v>6</v>
      </c>
      <c r="X3" s="70" t="s">
        <v>7</v>
      </c>
      <c r="Y3" s="84" t="s">
        <v>8</v>
      </c>
      <c r="Z3" s="85" t="s">
        <v>10</v>
      </c>
      <c r="AB3" s="69" t="s">
        <v>6</v>
      </c>
      <c r="AC3" s="70" t="s">
        <v>7</v>
      </c>
      <c r="AD3" s="84" t="s">
        <v>8</v>
      </c>
      <c r="AE3" s="85" t="s">
        <v>10</v>
      </c>
      <c r="AG3" s="69" t="s">
        <v>6</v>
      </c>
      <c r="AH3" s="70" t="s">
        <v>7</v>
      </c>
      <c r="AI3" s="84" t="s">
        <v>8</v>
      </c>
      <c r="AJ3" s="85" t="s">
        <v>10</v>
      </c>
      <c r="AL3" s="69" t="s">
        <v>6</v>
      </c>
      <c r="AM3" s="70" t="s">
        <v>7</v>
      </c>
      <c r="AN3" s="84" t="s">
        <v>8</v>
      </c>
      <c r="AO3" s="85" t="s">
        <v>10</v>
      </c>
      <c r="AQ3" s="69" t="s">
        <v>6</v>
      </c>
      <c r="AR3" s="70" t="s">
        <v>7</v>
      </c>
      <c r="AS3" s="84" t="s">
        <v>8</v>
      </c>
      <c r="AT3" s="85" t="s">
        <v>10</v>
      </c>
      <c r="AV3" s="69" t="s">
        <v>6</v>
      </c>
      <c r="AW3" s="70" t="s">
        <v>7</v>
      </c>
      <c r="AX3" s="84" t="s">
        <v>8</v>
      </c>
      <c r="AY3" s="85" t="s">
        <v>10</v>
      </c>
      <c r="BB3" s="69" t="s">
        <v>86</v>
      </c>
      <c r="BC3" s="70" t="s">
        <v>7</v>
      </c>
      <c r="BD3" s="50"/>
      <c r="BE3" s="50"/>
      <c r="BH3" s="77"/>
      <c r="BJ3" s="78"/>
      <c r="BM3" s="77"/>
      <c r="BO3" s="78"/>
      <c r="BR3" s="77"/>
      <c r="BT3" s="78"/>
      <c r="BW3" s="77"/>
      <c r="BY3" s="78"/>
      <c r="CB3" s="77"/>
      <c r="CD3" s="78"/>
      <c r="CG3" s="77"/>
      <c r="CI3" s="78"/>
      <c r="CL3" s="77"/>
      <c r="CN3" s="78"/>
    </row>
    <row r="4" spans="1:57" s="48" customFormat="1" ht="19.5" customHeight="1">
      <c r="A4" s="64" t="s">
        <v>82</v>
      </c>
      <c r="B4" s="65">
        <f>SUM(E4,E12)</f>
        <v>0.15024305555555556</v>
      </c>
      <c r="C4" s="66">
        <f>RANK(B4,B$4:B$8,2)</f>
        <v>4</v>
      </c>
      <c r="E4" s="65">
        <f>SUM(I4,N4,X4,AC4,AH4,AM4,AR4,AW4,BC4)</f>
        <v>0.07319444444444445</v>
      </c>
      <c r="F4" s="66">
        <f>RANK(E4,E$4:E$8,2)</f>
        <v>4</v>
      </c>
      <c r="H4" s="71" t="s">
        <v>65</v>
      </c>
      <c r="I4" s="72">
        <v>0.006701388888888889</v>
      </c>
      <c r="J4" s="29">
        <f>I4/Dist1</f>
        <v>0.0022337962962962962</v>
      </c>
      <c r="K4" s="30">
        <f>IF(I4&gt;0,RANK(I4,H$52:H$65,1),)</f>
        <v>1</v>
      </c>
      <c r="M4" s="71" t="s">
        <v>75</v>
      </c>
      <c r="N4" s="72">
        <v>0.007476851851851853</v>
      </c>
      <c r="O4" s="29">
        <f>N4/Dist1</f>
        <v>0.002492283950617284</v>
      </c>
      <c r="P4" s="30">
        <f>IF(N4&gt;0,RANK(N4,H$52:H$65,1),)</f>
        <v>9</v>
      </c>
      <c r="R4" s="123" t="str">
        <f>CONCATENATE(H4," &amp; ",M4)</f>
        <v>Stephen Paine &amp; Luke Gray</v>
      </c>
      <c r="S4" s="124">
        <f>I4+N4</f>
        <v>0.014178240740740741</v>
      </c>
      <c r="T4" s="125">
        <f>S4/($S$2*2)</f>
        <v>0.00236304012345679</v>
      </c>
      <c r="U4" s="126">
        <f>IF(S4&gt;0,RANK(S4,S4:S8,1),)</f>
        <v>3</v>
      </c>
      <c r="W4" s="71" t="s">
        <v>78</v>
      </c>
      <c r="X4" s="72">
        <v>0.010439814814814813</v>
      </c>
      <c r="Y4" s="29">
        <f>X4/Dist2</f>
        <v>0.0028999485596707814</v>
      </c>
      <c r="Z4" s="30">
        <f>IF(X4&gt;0,RANK(X4,X$4:X$8,1),)</f>
        <v>4</v>
      </c>
      <c r="AB4" s="71" t="s">
        <v>57</v>
      </c>
      <c r="AC4" s="72">
        <v>0.009953703703703704</v>
      </c>
      <c r="AD4" s="29">
        <f>AC4/Dist3</f>
        <v>0.0025522317188983856</v>
      </c>
      <c r="AE4" s="30">
        <f>IF(AC4&gt;0,RANK(AC4,AC$4:AC$8,1),)</f>
        <v>2</v>
      </c>
      <c r="AG4" s="71" t="s">
        <v>75</v>
      </c>
      <c r="AH4" s="72">
        <v>0.01037037037037037</v>
      </c>
      <c r="AI4" s="29">
        <f>AH4/Dist4</f>
        <v>0.0024691358024691358</v>
      </c>
      <c r="AJ4" s="30">
        <f>IF(AH4&gt;0,RANK(AH4,AH$4:AH$8,1),)</f>
        <v>5</v>
      </c>
      <c r="AL4" s="71" t="s">
        <v>65</v>
      </c>
      <c r="AM4" s="72">
        <v>0.009976851851851853</v>
      </c>
      <c r="AN4" s="29">
        <f>AM4/Dist5</f>
        <v>0.002122734436564224</v>
      </c>
      <c r="AO4" s="30">
        <f>IF(AM4&gt;0,RANK(AM4,AM$4:AM$8,1),)</f>
        <v>1</v>
      </c>
      <c r="AQ4" s="71" t="s">
        <v>78</v>
      </c>
      <c r="AR4" s="72">
        <v>0.00951388888888889</v>
      </c>
      <c r="AS4" s="29">
        <f>AR4/Dist6</f>
        <v>0.0029273504273504276</v>
      </c>
      <c r="AT4" s="30">
        <f>IF(AR4&gt;0,RANK(AR4,AR$4:AR$8,1),)</f>
        <v>4</v>
      </c>
      <c r="AV4" s="71" t="s">
        <v>57</v>
      </c>
      <c r="AW4" s="72">
        <v>0.008761574074074074</v>
      </c>
      <c r="AX4" s="29">
        <f>AW4/Dist7</f>
        <v>0.002367992992992993</v>
      </c>
      <c r="AY4" s="30">
        <f>IF(AW4&gt;0,RANK(AW4,AW$4:AW$8,1),)</f>
        <v>1</v>
      </c>
      <c r="BB4" s="71"/>
      <c r="BC4" s="159"/>
      <c r="BD4" s="52"/>
      <c r="BE4" s="53"/>
    </row>
    <row r="5" spans="1:57" s="48" customFormat="1" ht="19.5" customHeight="1">
      <c r="A5" s="64" t="s">
        <v>83</v>
      </c>
      <c r="B5" s="65">
        <f>SUM(E5,E13)</f>
        <v>0.15815972222222222</v>
      </c>
      <c r="C5" s="66">
        <f>RANK(B5,B$4:B$8,2)</f>
        <v>5</v>
      </c>
      <c r="E5" s="65">
        <f>SUM(I5,N5,X5,AC5,AH5,AM5,AR5,AW5,BC5)</f>
        <v>0.07546296296296297</v>
      </c>
      <c r="F5" s="66">
        <f>RANK(E5,E$4:E$8,2)</f>
        <v>5</v>
      </c>
      <c r="H5" s="71" t="s">
        <v>68</v>
      </c>
      <c r="I5" s="72">
        <v>0.007222222222222223</v>
      </c>
      <c r="J5" s="29">
        <f>I5/Dist1</f>
        <v>0.0024074074074074076</v>
      </c>
      <c r="K5" s="30">
        <f>IF(I5&gt;0,RANK(I5,H$52:H$65,1),)</f>
        <v>7</v>
      </c>
      <c r="M5" s="71" t="s">
        <v>74</v>
      </c>
      <c r="N5" s="72">
        <v>0.0076157407407407415</v>
      </c>
      <c r="O5" s="29">
        <f>N5/Dist1</f>
        <v>0.0025385802469135806</v>
      </c>
      <c r="P5" s="30">
        <f>IF(N5&gt;0,RANK(N5,H$52:H$65,1),)</f>
        <v>10</v>
      </c>
      <c r="R5" s="123" t="str">
        <f>CONCATENATE(H5," &amp; ",M5)</f>
        <v>Patrick O'Keefe &amp; Shane Fielding</v>
      </c>
      <c r="S5" s="124">
        <f>I5+N5</f>
        <v>0.014837962962962964</v>
      </c>
      <c r="T5" s="125">
        <f>S5/($S$2*2)</f>
        <v>0.002472993827160494</v>
      </c>
      <c r="U5" s="126">
        <f>IF(S5&gt;0,RANK(S5,S4:S8,1),)</f>
        <v>5</v>
      </c>
      <c r="W5" s="71" t="s">
        <v>54</v>
      </c>
      <c r="X5" s="72">
        <v>0.011006944444444444</v>
      </c>
      <c r="Y5" s="29">
        <f>X5/Dist2</f>
        <v>0.0030574845679012344</v>
      </c>
      <c r="Z5" s="30">
        <f>IF(X5&gt;0,RANK(X5,X$4:X$8,1),)</f>
        <v>5</v>
      </c>
      <c r="AB5" s="71" t="s">
        <v>76</v>
      </c>
      <c r="AC5" s="72">
        <v>0.010335648148148148</v>
      </c>
      <c r="AD5" s="29">
        <f>AC5/Dist3</f>
        <v>0.0026501661918328584</v>
      </c>
      <c r="AE5" s="30">
        <f>IF(AC5&gt;0,RANK(AC5,AC$4:AC$8,1),)</f>
        <v>3</v>
      </c>
      <c r="AG5" s="71" t="s">
        <v>74</v>
      </c>
      <c r="AH5" s="72">
        <v>0.010347222222222223</v>
      </c>
      <c r="AI5" s="29">
        <f>AH5/Dist4</f>
        <v>0.002463624338624339</v>
      </c>
      <c r="AJ5" s="30">
        <f>IF(AH5&gt;0,RANK(AH5,AH$4:AH$8,1),)</f>
        <v>4</v>
      </c>
      <c r="AL5" s="71" t="s">
        <v>84</v>
      </c>
      <c r="AM5" s="72">
        <v>0.010138888888888888</v>
      </c>
      <c r="AN5" s="29">
        <f>AM5/Dist5</f>
        <v>0.0021572104018912526</v>
      </c>
      <c r="AO5" s="30">
        <f>IF(AM5&gt;0,RANK(AM5,AM$4:AM$8,1),)</f>
        <v>3</v>
      </c>
      <c r="AQ5" s="71" t="s">
        <v>54</v>
      </c>
      <c r="AR5" s="72">
        <v>0.009907407407407408</v>
      </c>
      <c r="AS5" s="29">
        <f>AR5/Dist6</f>
        <v>0.0030484330484330485</v>
      </c>
      <c r="AT5" s="30">
        <f>IF(AR5&gt;0,RANK(AR5,AR$4:AR$8,1),)</f>
        <v>5</v>
      </c>
      <c r="AV5" s="71" t="s">
        <v>76</v>
      </c>
      <c r="AW5" s="72">
        <v>0.008888888888888889</v>
      </c>
      <c r="AX5" s="29">
        <f>AW5/Dist7</f>
        <v>0.0024024024024024023</v>
      </c>
      <c r="AY5" s="30">
        <f>IF(AW5&gt;0,RANK(AW5,AW$4:AW$8,1),)</f>
        <v>3</v>
      </c>
      <c r="BB5" s="71"/>
      <c r="BC5" s="159"/>
      <c r="BD5" s="52"/>
      <c r="BE5" s="53"/>
    </row>
    <row r="6" spans="1:57" s="48" customFormat="1" ht="19.5" customHeight="1">
      <c r="A6" s="64" t="s">
        <v>81</v>
      </c>
      <c r="B6" s="65">
        <f>SUM(E6,E14)</f>
        <v>0.14966435185185184</v>
      </c>
      <c r="C6" s="66">
        <f>RANK(B6,B$4:B$8,2)</f>
        <v>3</v>
      </c>
      <c r="E6" s="65">
        <f>SUM(I6,N6,X6,AC6,AH6,AM6,AR6,AW6,BC6)</f>
        <v>0.07262731481481481</v>
      </c>
      <c r="F6" s="66">
        <f>RANK(E6,E$4:E$8,2)</f>
        <v>3</v>
      </c>
      <c r="H6" s="71" t="s">
        <v>70</v>
      </c>
      <c r="I6" s="72">
        <v>0.007071759259259259</v>
      </c>
      <c r="J6" s="29">
        <f>I6/Dist1</f>
        <v>0.002357253086419753</v>
      </c>
      <c r="K6" s="30">
        <f>IF(I6&gt;0,RANK(I6,H$52:H$65,1),)</f>
        <v>3</v>
      </c>
      <c r="M6" s="71" t="s">
        <v>73</v>
      </c>
      <c r="N6" s="72">
        <v>0.007326388888888889</v>
      </c>
      <c r="O6" s="29">
        <f>N6/Dist1</f>
        <v>0.0024421296296296296</v>
      </c>
      <c r="P6" s="30">
        <f>IF(N6&gt;0,RANK(N6,H$52:H$65,1),)</f>
        <v>8</v>
      </c>
      <c r="R6" s="123" t="str">
        <f>CONCATENATE(H6," &amp; ",M6)</f>
        <v>Luke Yeatman &amp; Richard Does</v>
      </c>
      <c r="S6" s="124">
        <f>I6+N6</f>
        <v>0.01439814814814815</v>
      </c>
      <c r="T6" s="125">
        <f>S6/($S$2*2)</f>
        <v>0.0023996913580246917</v>
      </c>
      <c r="U6" s="126">
        <f>IF(S6&gt;0,RANK(S6,S4:S8,1),)</f>
        <v>4</v>
      </c>
      <c r="W6" s="71" t="s">
        <v>64</v>
      </c>
      <c r="X6" s="72">
        <v>0.009780092592592592</v>
      </c>
      <c r="Y6" s="29">
        <f>X6/Dist2</f>
        <v>0.0027166923868312755</v>
      </c>
      <c r="Z6" s="30">
        <f>IF(X6&gt;0,RANK(X6,X$4:X$8,1),)</f>
        <v>3</v>
      </c>
      <c r="AB6" s="71" t="s">
        <v>69</v>
      </c>
      <c r="AC6" s="72">
        <v>0.009768518518518518</v>
      </c>
      <c r="AD6" s="29">
        <f>AC6/Dist3</f>
        <v>0.0025047483380816714</v>
      </c>
      <c r="AE6" s="30">
        <f>IF(AC6&gt;0,RANK(AC6,AC$4:AC$8,1),)</f>
        <v>1</v>
      </c>
      <c r="AG6" s="71" t="s">
        <v>73</v>
      </c>
      <c r="AH6" s="72">
        <v>0.009733796296296298</v>
      </c>
      <c r="AI6" s="29">
        <f>AH6/Dist4</f>
        <v>0.002317570546737214</v>
      </c>
      <c r="AJ6" s="30">
        <f>IF(AH6&gt;0,RANK(AH6,AH$4:AH$8,1),)</f>
        <v>3</v>
      </c>
      <c r="AL6" s="71" t="s">
        <v>70</v>
      </c>
      <c r="AM6" s="72">
        <v>0.01025462962962963</v>
      </c>
      <c r="AN6" s="29">
        <f>AM6/Dist5</f>
        <v>0.002181836091410559</v>
      </c>
      <c r="AO6" s="30">
        <f>IF(AM6&gt;0,RANK(AM6,AM$4:AM$8,1),)</f>
        <v>5</v>
      </c>
      <c r="AQ6" s="71" t="s">
        <v>64</v>
      </c>
      <c r="AR6" s="72">
        <v>0.008865740740740742</v>
      </c>
      <c r="AS6" s="29">
        <f>AR6/Dist6</f>
        <v>0.0027279202279202283</v>
      </c>
      <c r="AT6" s="30">
        <f>IF(AR6&gt;0,RANK(AR6,AR$4:AR$8,1),)</f>
        <v>3</v>
      </c>
      <c r="AV6" s="71" t="s">
        <v>69</v>
      </c>
      <c r="AW6" s="72">
        <v>0.008773148148148148</v>
      </c>
      <c r="AX6" s="29">
        <f>AW6/Dist7</f>
        <v>0.002371121121121121</v>
      </c>
      <c r="AY6" s="30">
        <f>IF(AW6&gt;0,RANK(AW6,AW$4:AW$8,1),)</f>
        <v>2</v>
      </c>
      <c r="BB6" s="71" t="s">
        <v>87</v>
      </c>
      <c r="BC6" s="159">
        <v>0.0010532407407407407</v>
      </c>
      <c r="BD6" s="52"/>
      <c r="BE6" s="53"/>
    </row>
    <row r="7" spans="1:57" s="48" customFormat="1" ht="19.5" customHeight="1">
      <c r="A7" s="64" t="s">
        <v>80</v>
      </c>
      <c r="B7" s="65">
        <f>SUM(E7,E15)</f>
        <v>0.14684027777777778</v>
      </c>
      <c r="C7" s="66">
        <f>RANK(B7,B$4:B$8,2)</f>
        <v>2</v>
      </c>
      <c r="E7" s="65">
        <f>SUM(I7,N7,X7,AC7,AH7,AM7,AR7,AW7,BC7)</f>
        <v>0.07254629629629629</v>
      </c>
      <c r="F7" s="66">
        <f>RANK(E7,E$4:E$8,2)</f>
        <v>2</v>
      </c>
      <c r="H7" s="71" t="s">
        <v>55</v>
      </c>
      <c r="I7" s="72">
        <v>0.007025462962962963</v>
      </c>
      <c r="J7" s="29">
        <f>I7/Dist1</f>
        <v>0.0023418209876543213</v>
      </c>
      <c r="K7" s="30">
        <f>IF(I7&gt;0,RANK(I7,H$52:H$65,1),)</f>
        <v>2</v>
      </c>
      <c r="M7" s="71" t="s">
        <v>56</v>
      </c>
      <c r="N7" s="72">
        <v>0.007141203703703704</v>
      </c>
      <c r="O7" s="29">
        <f>N7/Dist1</f>
        <v>0.0023804012345679014</v>
      </c>
      <c r="P7" s="30">
        <f>IF(N7&gt;0,RANK(N7,H$52:H$65,1),)</f>
        <v>6</v>
      </c>
      <c r="R7" s="123" t="str">
        <f>CONCATENATE(H7," &amp; ",M7)</f>
        <v>David Venour &amp; Troy Williams</v>
      </c>
      <c r="S7" s="124">
        <f>I7+N7</f>
        <v>0.014166666666666668</v>
      </c>
      <c r="T7" s="125">
        <f>S7/($S$2*2)</f>
        <v>0.002361111111111111</v>
      </c>
      <c r="U7" s="126">
        <f>IF(S7&gt;0,RANK(S7,S4:S8,1),)</f>
        <v>2</v>
      </c>
      <c r="W7" s="71" t="s">
        <v>58</v>
      </c>
      <c r="X7" s="72">
        <v>0.009293981481481481</v>
      </c>
      <c r="Y7" s="29">
        <f>X7/Dist2</f>
        <v>0.0025816615226337447</v>
      </c>
      <c r="Z7" s="30">
        <f>IF(X7&gt;0,RANK(X7,X$4:X$8,1),)</f>
        <v>1</v>
      </c>
      <c r="AB7" s="71" t="s">
        <v>67</v>
      </c>
      <c r="AC7" s="72">
        <v>0.010358796296296295</v>
      </c>
      <c r="AD7" s="29">
        <f>AC7/Dist3</f>
        <v>0.0026561016144349475</v>
      </c>
      <c r="AE7" s="30">
        <f>IF(AC7&gt;0,RANK(AC7,AC$4:AC$8,1),)</f>
        <v>5</v>
      </c>
      <c r="AG7" s="71" t="s">
        <v>55</v>
      </c>
      <c r="AH7" s="72">
        <v>0.009502314814814816</v>
      </c>
      <c r="AI7" s="29">
        <f>AH7/Dist4</f>
        <v>0.0022624559082892416</v>
      </c>
      <c r="AJ7" s="30">
        <f>IF(AH7&gt;0,RANK(AH7,AH$4:AH$8,1),)</f>
        <v>1</v>
      </c>
      <c r="AL7" s="71" t="s">
        <v>56</v>
      </c>
      <c r="AM7" s="72">
        <v>0.01019675925925926</v>
      </c>
      <c r="AN7" s="29">
        <f>AM7/Dist5</f>
        <v>0.0021695232466509063</v>
      </c>
      <c r="AO7" s="30">
        <f>IF(AM7&gt;0,RANK(AM7,AM$4:AM$8,1),)</f>
        <v>4</v>
      </c>
      <c r="AQ7" s="71" t="s">
        <v>58</v>
      </c>
      <c r="AR7" s="72">
        <v>0.008692129629629631</v>
      </c>
      <c r="AS7" s="29">
        <f>AR7/Dist6</f>
        <v>0.002674501424501425</v>
      </c>
      <c r="AT7" s="30">
        <f>IF(AR7&gt;0,RANK(AR7,AR$4:AR$8,1),)</f>
        <v>2</v>
      </c>
      <c r="AV7" s="71" t="s">
        <v>67</v>
      </c>
      <c r="AW7" s="72">
        <v>0.009097222222222222</v>
      </c>
      <c r="AX7" s="29">
        <f>AW7/Dist7</f>
        <v>0.0024587087087087085</v>
      </c>
      <c r="AY7" s="30">
        <f>IF(AW7&gt;0,RANK(AW7,AW$4:AW$8,1),)</f>
        <v>4</v>
      </c>
      <c r="BB7" s="71" t="s">
        <v>87</v>
      </c>
      <c r="BC7" s="159">
        <v>0.0012384259259259258</v>
      </c>
      <c r="BD7" s="52"/>
      <c r="BE7" s="53"/>
    </row>
    <row r="8" spans="1:57" s="48" customFormat="1" ht="19.5" customHeight="1">
      <c r="A8" s="64" t="s">
        <v>79</v>
      </c>
      <c r="B8" s="65">
        <f>SUM(E8,E16)</f>
        <v>0.1459375</v>
      </c>
      <c r="C8" s="66">
        <f>RANK(B8,B$4:B$8,2)</f>
        <v>1</v>
      </c>
      <c r="E8" s="65">
        <f>SUM(I8,N8,X8,AC8,AH8,AM8,AR8,AW8,BC8)</f>
        <v>0.07150462962962963</v>
      </c>
      <c r="F8" s="66">
        <f>RANK(E8,E$4:E$8,2)</f>
        <v>1</v>
      </c>
      <c r="H8" s="71" t="s">
        <v>71</v>
      </c>
      <c r="I8" s="158">
        <v>0.007071759259259259</v>
      </c>
      <c r="J8" s="29">
        <f>I8/Dist1</f>
        <v>0.002357253086419753</v>
      </c>
      <c r="K8" s="30">
        <f>IF(I8&gt;0,RANK(I8,H$52:H$65,1),)</f>
        <v>3</v>
      </c>
      <c r="M8" s="71" t="s">
        <v>72</v>
      </c>
      <c r="N8" s="158">
        <v>0.007071759259259259</v>
      </c>
      <c r="O8" s="29">
        <f>N8/Dist1</f>
        <v>0.002357253086419753</v>
      </c>
      <c r="P8" s="30">
        <f>IF(N8&gt;0,RANK(N8,H$52:H$65,1),)</f>
        <v>3</v>
      </c>
      <c r="R8" s="123" t="str">
        <f>CONCATENATE(H8," &amp; ",M8)</f>
        <v>Andrew Coles &amp; Colin Thornton</v>
      </c>
      <c r="S8" s="124">
        <f>I8+N8</f>
        <v>0.014143518518518519</v>
      </c>
      <c r="T8" s="125">
        <f>S8/($S$2*2)</f>
        <v>0.002357253086419753</v>
      </c>
      <c r="U8" s="126">
        <f>IF(S8&gt;0,RANK(S8,S4:S8,1),)</f>
        <v>1</v>
      </c>
      <c r="W8" s="71" t="s">
        <v>66</v>
      </c>
      <c r="X8" s="72">
        <v>0.009305555555555555</v>
      </c>
      <c r="Y8" s="29">
        <f>X8/Dist2</f>
        <v>0.0025848765432098762</v>
      </c>
      <c r="Z8" s="30">
        <f>IF(X8&gt;0,RANK(X8,X$4:X$8,1),)</f>
        <v>2</v>
      </c>
      <c r="AB8" s="71" t="s">
        <v>77</v>
      </c>
      <c r="AC8" s="72">
        <v>0.010335648148148148</v>
      </c>
      <c r="AD8" s="29">
        <f>AC8/Dist3</f>
        <v>0.0026501661918328584</v>
      </c>
      <c r="AE8" s="30">
        <f>IF(AC8&gt;0,RANK(AC8,AC$4:AC$8,1),)</f>
        <v>3</v>
      </c>
      <c r="AG8" s="71" t="s">
        <v>72</v>
      </c>
      <c r="AH8" s="72">
        <v>0.009722222222222222</v>
      </c>
      <c r="AI8" s="29">
        <f>AH8/Dist4</f>
        <v>0.0023148148148148147</v>
      </c>
      <c r="AJ8" s="30">
        <f>IF(AH8&gt;0,RANK(AH8,AH$4:AH$8,1),)</f>
        <v>2</v>
      </c>
      <c r="AL8" s="71" t="s">
        <v>71</v>
      </c>
      <c r="AM8" s="72">
        <v>0.010127314814814815</v>
      </c>
      <c r="AN8" s="29">
        <f>AM8/Dist5</f>
        <v>0.0021547478329393224</v>
      </c>
      <c r="AO8" s="30">
        <f>IF(AM8&gt;0,RANK(AM8,AM$4:AM$8,1),)</f>
        <v>2</v>
      </c>
      <c r="AQ8" s="71" t="s">
        <v>66</v>
      </c>
      <c r="AR8" s="72">
        <v>0.008518518518518519</v>
      </c>
      <c r="AS8" s="29">
        <f>AR8/Dist6</f>
        <v>0.0026210826210826214</v>
      </c>
      <c r="AT8" s="30">
        <f>IF(AR8&gt;0,RANK(AR8,AR$4:AR$8,1),)</f>
        <v>1</v>
      </c>
      <c r="AV8" s="71" t="s">
        <v>77</v>
      </c>
      <c r="AW8" s="72">
        <v>0.009351851851851853</v>
      </c>
      <c r="AX8" s="29">
        <f>AW8/Dist7</f>
        <v>0.0025275275275275276</v>
      </c>
      <c r="AY8" s="30">
        <f>IF(AW8&gt;0,RANK(AW8,AW$4:AW$8,1),)</f>
        <v>5</v>
      </c>
      <c r="BB8" s="71"/>
      <c r="BC8" s="159"/>
      <c r="BD8" s="52"/>
      <c r="BE8" s="53"/>
    </row>
    <row r="9" spans="9:91" ht="19.5" customHeight="1">
      <c r="I9" s="58"/>
      <c r="J9" s="59"/>
      <c r="N9" s="58"/>
      <c r="O9" s="59"/>
      <c r="S9" s="128"/>
      <c r="T9" s="129"/>
      <c r="X9" s="58"/>
      <c r="Y9" s="59"/>
      <c r="AC9" s="58"/>
      <c r="AD9" s="59"/>
      <c r="AH9" s="58"/>
      <c r="AI9" s="59"/>
      <c r="AM9" s="58"/>
      <c r="AN9" s="59"/>
      <c r="AR9" s="58"/>
      <c r="AS9" s="59"/>
      <c r="AW9" s="58"/>
      <c r="AX9" s="59"/>
      <c r="BC9" s="58"/>
      <c r="BD9" s="59"/>
      <c r="BH9" s="58"/>
      <c r="BI9" s="59"/>
      <c r="BM9" s="58"/>
      <c r="BN9" s="59"/>
      <c r="BR9" s="58"/>
      <c r="BS9" s="59"/>
      <c r="BW9" s="58"/>
      <c r="BX9" s="59"/>
      <c r="CB9" s="58"/>
      <c r="CC9" s="59"/>
      <c r="CG9" s="58"/>
      <c r="CH9" s="59"/>
      <c r="CL9" s="58"/>
      <c r="CM9" s="59"/>
    </row>
    <row r="10" spans="1:92" s="76" customFormat="1" ht="19.5" customHeight="1">
      <c r="A10" s="79"/>
      <c r="B10" s="80"/>
      <c r="C10" s="81"/>
      <c r="E10" s="80"/>
      <c r="F10" s="80"/>
      <c r="H10" s="62" t="s">
        <v>47</v>
      </c>
      <c r="I10" s="67">
        <v>3</v>
      </c>
      <c r="J10" s="68" t="s">
        <v>9</v>
      </c>
      <c r="K10" s="83" t="s">
        <v>11</v>
      </c>
      <c r="M10" s="62" t="s">
        <v>48</v>
      </c>
      <c r="N10" s="67">
        <f>Dist8</f>
        <v>3</v>
      </c>
      <c r="O10" s="68" t="s">
        <v>9</v>
      </c>
      <c r="P10" s="83" t="s">
        <v>11</v>
      </c>
      <c r="R10" s="115" t="s">
        <v>18</v>
      </c>
      <c r="S10" s="116">
        <f>Dist8</f>
        <v>3</v>
      </c>
      <c r="T10" s="117" t="s">
        <v>9</v>
      </c>
      <c r="U10" s="118" t="s">
        <v>11</v>
      </c>
      <c r="W10" s="62" t="s">
        <v>21</v>
      </c>
      <c r="X10" s="67">
        <v>3.6</v>
      </c>
      <c r="Y10" s="68" t="s">
        <v>9</v>
      </c>
      <c r="Z10" s="83" t="s">
        <v>11</v>
      </c>
      <c r="AB10" s="62" t="s">
        <v>22</v>
      </c>
      <c r="AC10" s="67">
        <v>4.45</v>
      </c>
      <c r="AD10" s="68" t="s">
        <v>9</v>
      </c>
      <c r="AE10" s="83" t="s">
        <v>11</v>
      </c>
      <c r="AG10" s="62" t="s">
        <v>23</v>
      </c>
      <c r="AH10" s="67">
        <v>4</v>
      </c>
      <c r="AI10" s="68" t="s">
        <v>9</v>
      </c>
      <c r="AJ10" s="83" t="s">
        <v>11</v>
      </c>
      <c r="AL10" s="62" t="s">
        <v>24</v>
      </c>
      <c r="AM10" s="67">
        <v>4</v>
      </c>
      <c r="AN10" s="68" t="s">
        <v>9</v>
      </c>
      <c r="AO10" s="83" t="s">
        <v>11</v>
      </c>
      <c r="AQ10" s="62" t="s">
        <v>25</v>
      </c>
      <c r="AR10" s="67">
        <v>4.5</v>
      </c>
      <c r="AS10" s="68" t="s">
        <v>9</v>
      </c>
      <c r="AT10" s="83" t="s">
        <v>11</v>
      </c>
      <c r="AV10" s="62" t="s">
        <v>26</v>
      </c>
      <c r="AW10" s="67">
        <v>3.7</v>
      </c>
      <c r="AX10" s="68" t="s">
        <v>9</v>
      </c>
      <c r="AY10" s="83" t="s">
        <v>11</v>
      </c>
      <c r="BB10" s="62" t="s">
        <v>85</v>
      </c>
      <c r="BC10" s="58"/>
      <c r="BD10" s="49"/>
      <c r="BE10" s="50"/>
      <c r="BH10" s="82"/>
      <c r="BI10" s="78"/>
      <c r="BJ10" s="78"/>
      <c r="BM10" s="82"/>
      <c r="BN10" s="78"/>
      <c r="BO10" s="78"/>
      <c r="BR10" s="82"/>
      <c r="BS10" s="78"/>
      <c r="BT10" s="78"/>
      <c r="BW10" s="82"/>
      <c r="BX10" s="78"/>
      <c r="BY10" s="78"/>
      <c r="CB10" s="82"/>
      <c r="CC10" s="78"/>
      <c r="CD10" s="78"/>
      <c r="CG10" s="82"/>
      <c r="CH10" s="78"/>
      <c r="CI10" s="78"/>
      <c r="CL10" s="82"/>
      <c r="CM10" s="78"/>
      <c r="CN10" s="78"/>
    </row>
    <row r="11" spans="1:92" s="76" customFormat="1" ht="19.5" customHeight="1">
      <c r="A11" s="73" t="s">
        <v>0</v>
      </c>
      <c r="B11" s="80"/>
      <c r="C11" s="81"/>
      <c r="E11" s="62" t="s">
        <v>27</v>
      </c>
      <c r="F11" s="63" t="s">
        <v>10</v>
      </c>
      <c r="H11" s="69" t="s">
        <v>6</v>
      </c>
      <c r="I11" s="70" t="s">
        <v>7</v>
      </c>
      <c r="J11" s="84" t="s">
        <v>8</v>
      </c>
      <c r="K11" s="85" t="s">
        <v>10</v>
      </c>
      <c r="M11" s="69" t="s">
        <v>6</v>
      </c>
      <c r="N11" s="70" t="s">
        <v>7</v>
      </c>
      <c r="O11" s="84" t="s">
        <v>8</v>
      </c>
      <c r="P11" s="85" t="s">
        <v>10</v>
      </c>
      <c r="R11" s="119" t="s">
        <v>53</v>
      </c>
      <c r="S11" s="120" t="s">
        <v>7</v>
      </c>
      <c r="T11" s="121" t="s">
        <v>8</v>
      </c>
      <c r="U11" s="122" t="s">
        <v>10</v>
      </c>
      <c r="W11" s="69" t="s">
        <v>6</v>
      </c>
      <c r="X11" s="70" t="s">
        <v>7</v>
      </c>
      <c r="Y11" s="84" t="s">
        <v>8</v>
      </c>
      <c r="Z11" s="85" t="s">
        <v>10</v>
      </c>
      <c r="AB11" s="69" t="s">
        <v>6</v>
      </c>
      <c r="AC11" s="70" t="s">
        <v>7</v>
      </c>
      <c r="AD11" s="84" t="s">
        <v>8</v>
      </c>
      <c r="AE11" s="85" t="s">
        <v>10</v>
      </c>
      <c r="AG11" s="69" t="s">
        <v>6</v>
      </c>
      <c r="AH11" s="70" t="s">
        <v>7</v>
      </c>
      <c r="AI11" s="84" t="s">
        <v>8</v>
      </c>
      <c r="AJ11" s="85" t="s">
        <v>10</v>
      </c>
      <c r="AL11" s="69" t="s">
        <v>6</v>
      </c>
      <c r="AM11" s="70" t="s">
        <v>7</v>
      </c>
      <c r="AN11" s="84" t="s">
        <v>8</v>
      </c>
      <c r="AO11" s="85" t="s">
        <v>10</v>
      </c>
      <c r="AQ11" s="69" t="s">
        <v>6</v>
      </c>
      <c r="AR11" s="70" t="s">
        <v>7</v>
      </c>
      <c r="AS11" s="84" t="s">
        <v>8</v>
      </c>
      <c r="AT11" s="85" t="s">
        <v>10</v>
      </c>
      <c r="AV11" s="69" t="s">
        <v>6</v>
      </c>
      <c r="AW11" s="70" t="s">
        <v>7</v>
      </c>
      <c r="AX11" s="84" t="s">
        <v>8</v>
      </c>
      <c r="AY11" s="85" t="s">
        <v>10</v>
      </c>
      <c r="BB11" s="69" t="s">
        <v>86</v>
      </c>
      <c r="BC11" s="70" t="s">
        <v>7</v>
      </c>
      <c r="BD11" s="50"/>
      <c r="BE11" s="50"/>
      <c r="BH11" s="82"/>
      <c r="BI11" s="78"/>
      <c r="BJ11" s="78"/>
      <c r="BM11" s="82"/>
      <c r="BN11" s="78"/>
      <c r="BO11" s="78"/>
      <c r="BR11" s="82"/>
      <c r="BS11" s="78"/>
      <c r="BT11" s="78"/>
      <c r="BW11" s="82"/>
      <c r="BX11" s="78"/>
      <c r="BY11" s="78"/>
      <c r="CB11" s="82"/>
      <c r="CC11" s="78"/>
      <c r="CD11" s="78"/>
      <c r="CG11" s="82"/>
      <c r="CH11" s="78"/>
      <c r="CI11" s="78"/>
      <c r="CL11" s="82"/>
      <c r="CM11" s="78"/>
      <c r="CN11" s="78"/>
    </row>
    <row r="12" spans="1:91" ht="19.5" customHeight="1">
      <c r="A12" s="74" t="str">
        <f>A4</f>
        <v>The Bradburys</v>
      </c>
      <c r="E12" s="65">
        <f>SUM(I12,N12,X12,AC12,AH12,AM12,AR12,AW12,BC12)</f>
        <v>0.07704861111111111</v>
      </c>
      <c r="F12" s="66">
        <f>RANK(E12,E$12:E$16,2)</f>
        <v>4</v>
      </c>
      <c r="H12" s="71" t="s">
        <v>57</v>
      </c>
      <c r="I12" s="72">
        <v>0.007418981481481481</v>
      </c>
      <c r="J12" s="29">
        <f>I12/Dist8</f>
        <v>0.002472993827160494</v>
      </c>
      <c r="K12" s="30">
        <f>IF(I12&gt;0,RANK(I12,H$68:H$81,1),)</f>
        <v>1</v>
      </c>
      <c r="L12" s="48"/>
      <c r="M12" s="71" t="s">
        <v>78</v>
      </c>
      <c r="N12" s="72">
        <v>0.00900462962962963</v>
      </c>
      <c r="O12" s="29">
        <f>N12/Dist8</f>
        <v>0.0030015432098765434</v>
      </c>
      <c r="P12" s="30">
        <f>IF(N12&gt;0,RANK(N12,H$68:H$81,1),)</f>
        <v>10</v>
      </c>
      <c r="Q12" s="48"/>
      <c r="R12" s="123" t="str">
        <f>CONCATENATE(H12," &amp; ",M12)</f>
        <v>Anthony Mithen &amp; Dale Nardella</v>
      </c>
      <c r="S12" s="124">
        <f>I12+N12</f>
        <v>0.01642361111111111</v>
      </c>
      <c r="T12" s="125">
        <f>S12/($S$10*2)</f>
        <v>0.0027372685185185187</v>
      </c>
      <c r="U12" s="126">
        <f>IF(S12&gt;0,RANK(S12,S12:S16,1),)</f>
        <v>5</v>
      </c>
      <c r="V12" s="48"/>
      <c r="W12" s="71" t="s">
        <v>65</v>
      </c>
      <c r="X12" s="72">
        <v>0.00912037037037037</v>
      </c>
      <c r="Y12" s="29">
        <f>X12/Dist9</f>
        <v>0.0025334362139917696</v>
      </c>
      <c r="Z12" s="30">
        <f>IF(X12&gt;0,RANK(X12,X$12:X$16,1),)</f>
        <v>1</v>
      </c>
      <c r="AA12" s="48"/>
      <c r="AB12" s="71" t="s">
        <v>75</v>
      </c>
      <c r="AC12" s="72">
        <v>0.010891203703703703</v>
      </c>
      <c r="AD12" s="29">
        <f>AC12/Dist10</f>
        <v>0.0024474615064502703</v>
      </c>
      <c r="AE12" s="30">
        <f>IF(AC12&gt;0,RANK(AC12,AC$12:AC$16,1),)</f>
        <v>4</v>
      </c>
      <c r="AF12" s="48"/>
      <c r="AG12" s="71" t="s">
        <v>57</v>
      </c>
      <c r="AH12" s="72">
        <v>0.009305555555555555</v>
      </c>
      <c r="AI12" s="29">
        <f>AH12/Dist11</f>
        <v>0.0023263888888888887</v>
      </c>
      <c r="AJ12" s="30">
        <f>IF(AH12&gt;0,RANK(AH12,AH$12:AH$16,1),)</f>
        <v>1</v>
      </c>
      <c r="AK12" s="48"/>
      <c r="AL12" s="71" t="s">
        <v>65</v>
      </c>
      <c r="AM12" s="72">
        <v>0.00980324074074074</v>
      </c>
      <c r="AN12" s="29">
        <f>AM12/Dist12</f>
        <v>0.002450810185185185</v>
      </c>
      <c r="AO12" s="30">
        <f>IF(AM12&gt;0,RANK(AM12,AM$12:AM$16,1),)</f>
        <v>1</v>
      </c>
      <c r="AP12" s="48"/>
      <c r="AQ12" s="71" t="s">
        <v>75</v>
      </c>
      <c r="AR12" s="72">
        <v>0.01136574074074074</v>
      </c>
      <c r="AS12" s="29">
        <f>AR12/Dist13</f>
        <v>0.0025257201646090533</v>
      </c>
      <c r="AT12" s="30">
        <f>IF(AR12&gt;0,RANK(AR12,AR$12:AR$16,1),)</f>
        <v>4</v>
      </c>
      <c r="AU12" s="48"/>
      <c r="AV12" s="71" t="s">
        <v>78</v>
      </c>
      <c r="AW12" s="72">
        <v>0.010138888888888888</v>
      </c>
      <c r="AX12" s="29">
        <f>AW12/Dist14</f>
        <v>0.00274024024024024</v>
      </c>
      <c r="AY12" s="30">
        <f>IF(AW12&gt;0,RANK(AW12,AW$12:AW$16,1),)</f>
        <v>4</v>
      </c>
      <c r="AZ12" s="48"/>
      <c r="BA12" s="48"/>
      <c r="BB12" s="71"/>
      <c r="BC12" s="159"/>
      <c r="BD12" s="52"/>
      <c r="BE12" s="53"/>
      <c r="BF12" s="48"/>
      <c r="BH12" s="58"/>
      <c r="BI12" s="59"/>
      <c r="BM12" s="58"/>
      <c r="BN12" s="59"/>
      <c r="BR12" s="58"/>
      <c r="BS12" s="59"/>
      <c r="BW12" s="58"/>
      <c r="BX12" s="59"/>
      <c r="CB12" s="58"/>
      <c r="CC12" s="59"/>
      <c r="CG12" s="58"/>
      <c r="CH12" s="59"/>
      <c r="CL12" s="58"/>
      <c r="CM12" s="59"/>
    </row>
    <row r="13" spans="1:91" ht="19.5" customHeight="1">
      <c r="A13" s="74" t="str">
        <f>A5</f>
        <v>Never A Chance</v>
      </c>
      <c r="E13" s="65">
        <f>SUM(I13,N13,X13,AC13,AH13,AM13,AR13,AW13,BC13)</f>
        <v>0.08269675925925925</v>
      </c>
      <c r="F13" s="66">
        <f>RANK(E13,E$12:E$16,2)</f>
        <v>5</v>
      </c>
      <c r="H13" s="71" t="s">
        <v>84</v>
      </c>
      <c r="I13" s="72">
        <v>0.007627314814814815</v>
      </c>
      <c r="J13" s="29">
        <f>I13/Dist8</f>
        <v>0.0025424382716049384</v>
      </c>
      <c r="K13" s="30">
        <f>IF(I13&gt;0,RANK(I13,H$68:H$81,1),)</f>
        <v>4</v>
      </c>
      <c r="L13" s="48"/>
      <c r="M13" s="71" t="s">
        <v>84</v>
      </c>
      <c r="N13" s="72">
        <v>0.008229166666666666</v>
      </c>
      <c r="O13" s="29">
        <f>N13/Dist8</f>
        <v>0.0027430555555555554</v>
      </c>
      <c r="P13" s="30">
        <f>IF(N13&gt;0,RANK(N13,H$68:H$81,1),)</f>
        <v>8</v>
      </c>
      <c r="Q13" s="48"/>
      <c r="R13" s="123" t="str">
        <f>CONCATENATE(H13," &amp; ",M13)</f>
        <v>Sub &amp; Sub</v>
      </c>
      <c r="S13" s="124">
        <f>I13+N13</f>
        <v>0.015856481481481482</v>
      </c>
      <c r="T13" s="125">
        <f>S13/($S$10*2)</f>
        <v>0.002642746913580247</v>
      </c>
      <c r="U13" s="126">
        <f>IF(S13&gt;0,RANK(S13,S12:S16,1),)</f>
        <v>3</v>
      </c>
      <c r="V13" s="48"/>
      <c r="W13" s="71" t="s">
        <v>74</v>
      </c>
      <c r="X13" s="72">
        <v>0.010266203703703703</v>
      </c>
      <c r="Y13" s="29">
        <f>X13/Dist9</f>
        <v>0.0028517232510288063</v>
      </c>
      <c r="Z13" s="30">
        <f>IF(X13&gt;0,RANK(X13,X$12:X$16,1),)</f>
        <v>5</v>
      </c>
      <c r="AA13" s="48"/>
      <c r="AB13" s="71" t="s">
        <v>54</v>
      </c>
      <c r="AC13" s="72">
        <v>0.013125</v>
      </c>
      <c r="AD13" s="29">
        <f>AC13/Dist10</f>
        <v>0.0029494382022471908</v>
      </c>
      <c r="AE13" s="30">
        <f>IF(AC13&gt;0,RANK(AC13,AC$12:AC$16,1),)</f>
        <v>5</v>
      </c>
      <c r="AF13" s="48"/>
      <c r="AG13" s="71" t="s">
        <v>76</v>
      </c>
      <c r="AH13" s="72">
        <v>0.009305555555555555</v>
      </c>
      <c r="AI13" s="29">
        <f>AH13/Dist11</f>
        <v>0.0023263888888888887</v>
      </c>
      <c r="AJ13" s="30">
        <f>IF(AH13&gt;0,RANK(AH13,AH$12:AH$16,1),)</f>
        <v>1</v>
      </c>
      <c r="AK13" s="48"/>
      <c r="AL13" s="71" t="s">
        <v>74</v>
      </c>
      <c r="AM13" s="72">
        <v>0.011041666666666667</v>
      </c>
      <c r="AN13" s="29">
        <f>AM13/Dist12</f>
        <v>0.0027604166666666667</v>
      </c>
      <c r="AO13" s="30">
        <f>IF(AM13&gt;0,RANK(AM13,AM$12:AM$16,1),)</f>
        <v>5</v>
      </c>
      <c r="AP13" s="48"/>
      <c r="AQ13" s="71" t="s">
        <v>76</v>
      </c>
      <c r="AR13" s="72">
        <v>0.012118055555555556</v>
      </c>
      <c r="AS13" s="29">
        <f>AR13/Dist13</f>
        <v>0.0026929012345679013</v>
      </c>
      <c r="AT13" s="30">
        <f>IF(AR13&gt;0,RANK(AR13,AR$12:AR$16,1),)</f>
        <v>5</v>
      </c>
      <c r="AU13" s="48"/>
      <c r="AV13" s="71" t="s">
        <v>54</v>
      </c>
      <c r="AW13" s="72">
        <v>0.010983796296296297</v>
      </c>
      <c r="AX13" s="29">
        <f>AW13/Dist14</f>
        <v>0.002968593593593594</v>
      </c>
      <c r="AY13" s="30">
        <f>IF(AW13&gt;0,RANK(AW13,AW$12:AW$16,1),)</f>
        <v>5</v>
      </c>
      <c r="AZ13" s="48"/>
      <c r="BA13" s="48"/>
      <c r="BB13" s="71"/>
      <c r="BC13" s="159"/>
      <c r="BD13" s="52"/>
      <c r="BE13" s="53"/>
      <c r="BF13" s="48"/>
      <c r="BH13" s="58"/>
      <c r="BI13" s="59"/>
      <c r="BM13" s="58"/>
      <c r="BN13" s="59"/>
      <c r="BR13" s="58"/>
      <c r="BS13" s="59"/>
      <c r="BW13" s="58"/>
      <c r="BX13" s="59"/>
      <c r="CB13" s="58"/>
      <c r="CC13" s="59"/>
      <c r="CG13" s="58"/>
      <c r="CH13" s="59"/>
      <c r="CL13" s="58"/>
      <c r="CM13" s="59"/>
    </row>
    <row r="14" spans="1:91" ht="19.5" customHeight="1">
      <c r="A14" s="74" t="str">
        <f>A6</f>
        <v>Yeats Mates</v>
      </c>
      <c r="E14" s="65">
        <f>SUM(I14,N14,X14,AC14,AH14,AM14,AR14,AW14,BC14)</f>
        <v>0.07703703703703704</v>
      </c>
      <c r="F14" s="66">
        <f>RANK(E14,E$12:E$16,2)</f>
        <v>3</v>
      </c>
      <c r="H14" s="71" t="s">
        <v>69</v>
      </c>
      <c r="I14" s="72">
        <v>0.008113425925925925</v>
      </c>
      <c r="J14" s="29">
        <f>I14/Dist8</f>
        <v>0.002704475308641975</v>
      </c>
      <c r="K14" s="30">
        <f>IF(I14&gt;0,RANK(I14,H$68:H$81,1),)</f>
        <v>7</v>
      </c>
      <c r="L14" s="48"/>
      <c r="M14" s="71" t="s">
        <v>64</v>
      </c>
      <c r="N14" s="72">
        <v>0.008229166666666666</v>
      </c>
      <c r="O14" s="29">
        <f>N14/Dist8</f>
        <v>0.0027430555555555554</v>
      </c>
      <c r="P14" s="30">
        <f>IF(N14&gt;0,RANK(N14,H$68:H$81,1),)</f>
        <v>8</v>
      </c>
      <c r="Q14" s="48"/>
      <c r="R14" s="123" t="str">
        <f>CONCATENATE(H14," &amp; ",M14)</f>
        <v>Mike Bialczak &amp; Craig Harris</v>
      </c>
      <c r="S14" s="124">
        <f>I14+N14</f>
        <v>0.01634259259259259</v>
      </c>
      <c r="T14" s="125">
        <f>S14/($S$10*2)</f>
        <v>0.0027237654320987647</v>
      </c>
      <c r="U14" s="126">
        <f>IF(S14&gt;0,RANK(S14,S12:S16,1),)</f>
        <v>4</v>
      </c>
      <c r="V14" s="48"/>
      <c r="W14" s="71" t="s">
        <v>73</v>
      </c>
      <c r="X14" s="72">
        <v>0.00986111111111111</v>
      </c>
      <c r="Y14" s="29">
        <f>X14/Dist9</f>
        <v>0.0027391975308641973</v>
      </c>
      <c r="Z14" s="30">
        <f>IF(X14&gt;0,RANK(X14,X$12:X$16,1),)</f>
        <v>4</v>
      </c>
      <c r="AA14" s="48"/>
      <c r="AB14" s="71" t="s">
        <v>70</v>
      </c>
      <c r="AC14" s="72">
        <v>0.010289351851851852</v>
      </c>
      <c r="AD14" s="29">
        <f>AC14/Dist10</f>
        <v>0.002312213899292551</v>
      </c>
      <c r="AE14" s="30">
        <f>IF(AC14&gt;0,RANK(AC14,AC$12:AC$16,1),)</f>
        <v>2</v>
      </c>
      <c r="AF14" s="48"/>
      <c r="AG14" s="71" t="s">
        <v>69</v>
      </c>
      <c r="AH14" s="72">
        <v>0.009814814814814814</v>
      </c>
      <c r="AI14" s="29">
        <f>AH14/Dist11</f>
        <v>0.0024537037037037036</v>
      </c>
      <c r="AJ14" s="30">
        <f>IF(AH14&gt;0,RANK(AH14,AH$12:AH$16,1),)</f>
        <v>5</v>
      </c>
      <c r="AK14" s="48"/>
      <c r="AL14" s="71" t="s">
        <v>73</v>
      </c>
      <c r="AM14" s="72">
        <v>0.010578703703703703</v>
      </c>
      <c r="AN14" s="29">
        <f>AM14/Dist12</f>
        <v>0.0026446759259259258</v>
      </c>
      <c r="AO14" s="30">
        <f>IF(AM14&gt;0,RANK(AM14,AM$12:AM$16,1),)</f>
        <v>4</v>
      </c>
      <c r="AP14" s="48"/>
      <c r="AQ14" s="71" t="s">
        <v>70</v>
      </c>
      <c r="AR14" s="72">
        <v>0.010659722222222221</v>
      </c>
      <c r="AS14" s="29">
        <f>AR14/Dist13</f>
        <v>0.002368827160493827</v>
      </c>
      <c r="AT14" s="30">
        <f>IF(AR14&gt;0,RANK(AR14,AR$12:AR$16,1),)</f>
        <v>3</v>
      </c>
      <c r="AU14" s="48"/>
      <c r="AV14" s="71" t="s">
        <v>64</v>
      </c>
      <c r="AW14" s="72">
        <v>0.00949074074074074</v>
      </c>
      <c r="AX14" s="29">
        <f>AW14/Dist14</f>
        <v>0.002565065065065065</v>
      </c>
      <c r="AY14" s="30">
        <f>IF(AW14&gt;0,RANK(AW14,AW$12:AW$16,1),)</f>
        <v>3</v>
      </c>
      <c r="AZ14" s="48"/>
      <c r="BA14" s="48"/>
      <c r="BB14" s="71"/>
      <c r="BC14" s="159"/>
      <c r="BD14" s="52"/>
      <c r="BE14" s="53"/>
      <c r="BF14" s="48"/>
      <c r="BH14" s="58"/>
      <c r="BI14" s="59"/>
      <c r="BM14" s="58"/>
      <c r="BN14" s="59"/>
      <c r="BR14" s="58"/>
      <c r="BS14" s="59"/>
      <c r="BW14" s="58"/>
      <c r="BX14" s="59"/>
      <c r="CB14" s="58"/>
      <c r="CC14" s="59"/>
      <c r="CG14" s="58"/>
      <c r="CH14" s="59"/>
      <c r="CL14" s="58"/>
      <c r="CM14" s="59"/>
    </row>
    <row r="15" spans="1:91" ht="19.5" customHeight="1">
      <c r="A15" s="74" t="str">
        <f>A7</f>
        <v>Massive Tickers</v>
      </c>
      <c r="E15" s="65">
        <f>SUM(I15,N15,X15,AC15,AH15,AM15,AR15,AW15,BC15)</f>
        <v>0.07429398148148149</v>
      </c>
      <c r="F15" s="66">
        <f>RANK(E15,E$12:E$16,2)</f>
        <v>1</v>
      </c>
      <c r="H15" s="71" t="s">
        <v>67</v>
      </c>
      <c r="I15" s="72">
        <v>0.007604166666666666</v>
      </c>
      <c r="J15" s="29">
        <f>I15/Dist8</f>
        <v>0.002534722222222222</v>
      </c>
      <c r="K15" s="30">
        <f>IF(I15&gt;0,RANK(I15,H$68:H$81,1),)</f>
        <v>3</v>
      </c>
      <c r="L15" s="48"/>
      <c r="M15" s="71" t="s">
        <v>58</v>
      </c>
      <c r="N15" s="72">
        <v>0.007962962962962963</v>
      </c>
      <c r="O15" s="29">
        <f>N15/Dist8</f>
        <v>0.002654320987654321</v>
      </c>
      <c r="P15" s="30">
        <f>IF(N15&gt;0,RANK(N15,H$68:H$81,1),)</f>
        <v>6</v>
      </c>
      <c r="Q15" s="48"/>
      <c r="R15" s="123" t="str">
        <f>CONCATENATE(H15," &amp; ",M15)</f>
        <v>Paul Marsh &amp; Matt Sandilands</v>
      </c>
      <c r="S15" s="124">
        <f>I15+N15</f>
        <v>0.015567129629629629</v>
      </c>
      <c r="T15" s="125">
        <f>S15/($S$10*2)</f>
        <v>0.0025945216049382716</v>
      </c>
      <c r="U15" s="126">
        <f>IF(S15&gt;0,RANK(S15,S12:S16,1),)</f>
        <v>2</v>
      </c>
      <c r="V15" s="48"/>
      <c r="W15" s="71" t="s">
        <v>55</v>
      </c>
      <c r="X15" s="72">
        <v>0.009293981481481481</v>
      </c>
      <c r="Y15" s="29">
        <f>X15/Dist9</f>
        <v>0.0025816615226337447</v>
      </c>
      <c r="Z15" s="30">
        <f>IF(X15&gt;0,RANK(X15,X$12:X$16,1),)</f>
        <v>2</v>
      </c>
      <c r="AA15" s="48"/>
      <c r="AB15" s="71" t="s">
        <v>56</v>
      </c>
      <c r="AC15" s="72">
        <v>0.010127314814814815</v>
      </c>
      <c r="AD15" s="29">
        <f>AC15/Dist10</f>
        <v>0.002275801081980857</v>
      </c>
      <c r="AE15" s="30">
        <f>IF(AC15&gt;0,RANK(AC15,AC$12:AC$16,1),)</f>
        <v>1</v>
      </c>
      <c r="AF15" s="48"/>
      <c r="AG15" s="71" t="s">
        <v>67</v>
      </c>
      <c r="AH15" s="72">
        <v>0.009641203703703704</v>
      </c>
      <c r="AI15" s="29">
        <f>AH15/Dist11</f>
        <v>0.002410300925925926</v>
      </c>
      <c r="AJ15" s="30">
        <f>IF(AH15&gt;0,RANK(AH15,AH$12:AH$16,1),)</f>
        <v>4</v>
      </c>
      <c r="AK15" s="48"/>
      <c r="AL15" s="71" t="s">
        <v>55</v>
      </c>
      <c r="AM15" s="72">
        <v>0.010162037037037037</v>
      </c>
      <c r="AN15" s="29">
        <f>AM15/Dist12</f>
        <v>0.0025405092592592593</v>
      </c>
      <c r="AO15" s="30">
        <f>IF(AM15&gt;0,RANK(AM15,AM$12:AM$16,1),)</f>
        <v>3</v>
      </c>
      <c r="AP15" s="48"/>
      <c r="AQ15" s="71" t="s">
        <v>56</v>
      </c>
      <c r="AR15" s="72">
        <v>0.010462962962962964</v>
      </c>
      <c r="AS15" s="29">
        <f>AR15/Dist13</f>
        <v>0.0023251028806584363</v>
      </c>
      <c r="AT15" s="30">
        <f>IF(AR15&gt;0,RANK(AR15,AR$12:AR$16,1),)</f>
        <v>1</v>
      </c>
      <c r="AU15" s="48"/>
      <c r="AV15" s="71" t="s">
        <v>58</v>
      </c>
      <c r="AW15" s="72">
        <v>0.009039351851851852</v>
      </c>
      <c r="AX15" s="29">
        <f>AW15/Dist14</f>
        <v>0.002443068068068068</v>
      </c>
      <c r="AY15" s="30">
        <f>IF(AW15&gt;0,RANK(AW15,AW$12:AW$16,1),)</f>
        <v>2</v>
      </c>
      <c r="AZ15" s="48"/>
      <c r="BA15" s="48"/>
      <c r="BB15" s="71"/>
      <c r="BC15" s="159"/>
      <c r="BD15" s="52"/>
      <c r="BE15" s="53"/>
      <c r="BF15" s="48"/>
      <c r="BH15" s="58"/>
      <c r="BI15" s="59"/>
      <c r="BM15" s="58"/>
      <c r="BN15" s="59"/>
      <c r="BR15" s="58"/>
      <c r="BS15" s="59"/>
      <c r="BW15" s="58"/>
      <c r="BX15" s="59"/>
      <c r="CB15" s="58"/>
      <c r="CC15" s="59"/>
      <c r="CG15" s="58"/>
      <c r="CH15" s="59"/>
      <c r="CL15" s="58"/>
      <c r="CM15" s="59"/>
    </row>
    <row r="16" spans="1:91" ht="19.5" customHeight="1">
      <c r="A16" s="74" t="str">
        <f>A8</f>
        <v>Wesfarmers Whippets</v>
      </c>
      <c r="E16" s="65">
        <f>SUM(I16,N16,X16,AC16,AH16,AM16,AR16,AW16,BC16)</f>
        <v>0.07443287037037036</v>
      </c>
      <c r="F16" s="66">
        <f>RANK(E16,E$12:E$16,2)</f>
        <v>2</v>
      </c>
      <c r="H16" s="71" t="s">
        <v>77</v>
      </c>
      <c r="I16" s="72">
        <v>0.0075</v>
      </c>
      <c r="J16" s="29">
        <f>I16/Dist8</f>
        <v>0.0025</v>
      </c>
      <c r="K16" s="30">
        <f>IF(I16&gt;0,RANK(I16,H$68:H$81,1),)</f>
        <v>2</v>
      </c>
      <c r="L16" s="48"/>
      <c r="M16" s="71" t="s">
        <v>66</v>
      </c>
      <c r="N16" s="72">
        <v>0.007743055555555556</v>
      </c>
      <c r="O16" s="29">
        <f>N16/Dist8</f>
        <v>0.0025810185185185185</v>
      </c>
      <c r="P16" s="30">
        <f>IF(N16&gt;0,RANK(N16,H$68:H$81,1),)</f>
        <v>5</v>
      </c>
      <c r="Q16" s="48"/>
      <c r="R16" s="123" t="str">
        <f>CONCATENATE(H16," &amp; ",M16)</f>
        <v>Mark Purvis &amp; Glenn Goodman</v>
      </c>
      <c r="S16" s="124">
        <f>I16+N16</f>
        <v>0.015243055555555555</v>
      </c>
      <c r="T16" s="125">
        <f>S16/($S$10*2)</f>
        <v>0.0025405092592592593</v>
      </c>
      <c r="U16" s="126">
        <f>IF(S16&gt;0,RANK(S16,S13:S16,1),)</f>
        <v>1</v>
      </c>
      <c r="V16" s="48"/>
      <c r="W16" s="71" t="s">
        <v>71</v>
      </c>
      <c r="X16" s="72">
        <v>0.009837962962962963</v>
      </c>
      <c r="Y16" s="29">
        <f>X16/Dist9</f>
        <v>0.0027327674897119343</v>
      </c>
      <c r="Z16" s="30">
        <f>IF(X16&gt;0,RANK(X16,X$12:X$16,1),)</f>
        <v>3</v>
      </c>
      <c r="AA16" s="48"/>
      <c r="AB16" s="71" t="s">
        <v>72</v>
      </c>
      <c r="AC16" s="72">
        <v>0.0103125</v>
      </c>
      <c r="AD16" s="29">
        <f>AC16/Dist10</f>
        <v>0.0023174157303370788</v>
      </c>
      <c r="AE16" s="30">
        <f>IF(AC16&gt;0,RANK(AC16,AC$12:AC$16,1),)</f>
        <v>3</v>
      </c>
      <c r="AF16" s="48"/>
      <c r="AG16" s="71" t="s">
        <v>77</v>
      </c>
      <c r="AH16" s="72">
        <v>0.009525462962962963</v>
      </c>
      <c r="AI16" s="29">
        <f>AH16/Dist11</f>
        <v>0.0023813657407407408</v>
      </c>
      <c r="AJ16" s="30">
        <f>IF(AH16&gt;0,RANK(AH16,AH$12:AH$16,1),)</f>
        <v>3</v>
      </c>
      <c r="AK16" s="48"/>
      <c r="AL16" s="71" t="s">
        <v>71</v>
      </c>
      <c r="AM16" s="72">
        <v>0.010069444444444445</v>
      </c>
      <c r="AN16" s="29">
        <f>AM16/Dist12</f>
        <v>0.0025173611111111113</v>
      </c>
      <c r="AO16" s="30">
        <f>IF(AM16&gt;0,RANK(AM16,AM$12:AM$16,1),)</f>
        <v>2</v>
      </c>
      <c r="AP16" s="48"/>
      <c r="AQ16" s="71" t="s">
        <v>72</v>
      </c>
      <c r="AR16" s="72">
        <v>0.01054398148148148</v>
      </c>
      <c r="AS16" s="29">
        <f>AR16/Dist13</f>
        <v>0.0023431069958847733</v>
      </c>
      <c r="AT16" s="30">
        <f>IF(AR16&gt;0,RANK(AR16,AR$12:AR$16,1),)</f>
        <v>2</v>
      </c>
      <c r="AU16" s="48"/>
      <c r="AV16" s="71" t="s">
        <v>66</v>
      </c>
      <c r="AW16" s="72">
        <v>0.008900462962962962</v>
      </c>
      <c r="AX16" s="29">
        <f>AW16/Dist14</f>
        <v>0.0024055305305305304</v>
      </c>
      <c r="AY16" s="30">
        <f>IF(AW16&gt;0,RANK(AW16,AW$12:AW$16,1),)</f>
        <v>1</v>
      </c>
      <c r="AZ16" s="48"/>
      <c r="BA16" s="48"/>
      <c r="BB16" s="71"/>
      <c r="BC16" s="159"/>
      <c r="BD16" s="52"/>
      <c r="BE16" s="53"/>
      <c r="BF16" s="48"/>
      <c r="BH16" s="58"/>
      <c r="BI16" s="59"/>
      <c r="BM16" s="58"/>
      <c r="BN16" s="59"/>
      <c r="BR16" s="58"/>
      <c r="BS16" s="59"/>
      <c r="BW16" s="58"/>
      <c r="BX16" s="59"/>
      <c r="CB16" s="58"/>
      <c r="CC16" s="59"/>
      <c r="CG16" s="58"/>
      <c r="CH16" s="59"/>
      <c r="CL16" s="58"/>
      <c r="CM16" s="59"/>
    </row>
    <row r="18" ht="30" customHeight="1"/>
    <row r="19" ht="30" customHeight="1"/>
    <row r="20" ht="30" customHeight="1"/>
    <row r="21" ht="30" customHeight="1"/>
    <row r="22" ht="30" customHeight="1"/>
    <row r="23" ht="12.75">
      <c r="A23" s="54" t="s">
        <v>0</v>
      </c>
    </row>
    <row r="24" spans="1:9" ht="12.75">
      <c r="A24" s="54">
        <v>1</v>
      </c>
      <c r="B24" s="54" t="str">
        <f>'Team Selection'!D3</f>
        <v>Stephen Paine</v>
      </c>
      <c r="C24" s="54" t="str">
        <f>'Team Selection'!F3</f>
        <v>Luke Gray</v>
      </c>
      <c r="D24" s="54" t="str">
        <f>'Team Selection'!H3</f>
        <v>Anthony Mithen</v>
      </c>
      <c r="E24" s="54" t="str">
        <f>'Team Selection'!J3</f>
        <v>Dale Nardella</v>
      </c>
      <c r="F24" s="59"/>
      <c r="I24" s="59"/>
    </row>
    <row r="25" spans="1:9" ht="12.75">
      <c r="A25" s="54">
        <v>2</v>
      </c>
      <c r="B25" s="54" t="s">
        <v>84</v>
      </c>
      <c r="C25" s="54" t="str">
        <f>'Team Selection'!F4</f>
        <v>Shane Fielding</v>
      </c>
      <c r="D25" s="54" t="str">
        <f>'Team Selection'!H4</f>
        <v>Scott Lawrence</v>
      </c>
      <c r="E25" s="54" t="str">
        <f>'Team Selection'!J4</f>
        <v>Gary O'Dwyer</v>
      </c>
      <c r="F25" s="59"/>
      <c r="I25" s="59"/>
    </row>
    <row r="26" spans="1:9" ht="12.75">
      <c r="A26" s="54">
        <v>3</v>
      </c>
      <c r="B26" s="54" t="str">
        <f>'Team Selection'!D5</f>
        <v>Luke Yeatman</v>
      </c>
      <c r="C26" s="54" t="str">
        <f>'Team Selection'!F5</f>
        <v>Richard Does</v>
      </c>
      <c r="D26" s="54" t="str">
        <f>'Team Selection'!H5</f>
        <v>Mike Bialczak</v>
      </c>
      <c r="E26" s="54" t="str">
        <f>'Team Selection'!J5</f>
        <v>Craig Harris</v>
      </c>
      <c r="F26" s="59"/>
      <c r="I26" s="59"/>
    </row>
    <row r="27" spans="1:9" ht="12.75">
      <c r="A27" s="54">
        <v>4</v>
      </c>
      <c r="B27" s="54" t="str">
        <f>'Team Selection'!D6</f>
        <v>David Venour</v>
      </c>
      <c r="C27" s="54" t="str">
        <f>'Team Selection'!F6</f>
        <v>Troy Williams</v>
      </c>
      <c r="D27" s="54" t="str">
        <f>'Team Selection'!H6</f>
        <v>Paul Marsh</v>
      </c>
      <c r="E27" s="54" t="str">
        <f>'Team Selection'!J6</f>
        <v>Matt Sandilands</v>
      </c>
      <c r="F27" s="59"/>
      <c r="I27" s="59"/>
    </row>
    <row r="28" spans="1:9" ht="12.75">
      <c r="A28" s="54">
        <v>5</v>
      </c>
      <c r="B28" s="54" t="str">
        <f>'Team Selection'!D7</f>
        <v>Andrew Coles</v>
      </c>
      <c r="C28" s="54" t="str">
        <f>'Team Selection'!F7</f>
        <v>Colin Thornton</v>
      </c>
      <c r="D28" s="54" t="str">
        <f>'Team Selection'!H7</f>
        <v>Mark Purvis</v>
      </c>
      <c r="E28" s="54" t="str">
        <f>'Team Selection'!J7</f>
        <v>Glenn Goodman</v>
      </c>
      <c r="F28" s="59"/>
      <c r="I28" s="59"/>
    </row>
    <row r="29" spans="9:55" ht="12.75">
      <c r="I29" s="51"/>
      <c r="N29" s="51"/>
      <c r="S29" s="131"/>
      <c r="X29" s="51"/>
      <c r="AC29" s="51"/>
      <c r="AH29" s="51"/>
      <c r="AM29" s="51"/>
      <c r="AR29" s="51"/>
      <c r="AW29" s="51"/>
      <c r="BC29" s="51"/>
    </row>
    <row r="30" spans="9:55" ht="12.75">
      <c r="I30" s="51"/>
      <c r="N30" s="51"/>
      <c r="S30" s="131"/>
      <c r="X30" s="51"/>
      <c r="AC30" s="51"/>
      <c r="AH30" s="51"/>
      <c r="AM30" s="51"/>
      <c r="AR30" s="51"/>
      <c r="AW30" s="51"/>
      <c r="BC30" s="51"/>
    </row>
    <row r="31" spans="9:55" ht="12.75">
      <c r="I31" s="51"/>
      <c r="S31" s="131"/>
      <c r="X31" s="51"/>
      <c r="AC31" s="51"/>
      <c r="AH31" s="51"/>
      <c r="AM31" s="51"/>
      <c r="AR31" s="51"/>
      <c r="AW31" s="51"/>
      <c r="BC31" s="51"/>
    </row>
    <row r="32" spans="9:55" ht="12.75">
      <c r="I32" s="51"/>
      <c r="S32" s="131"/>
      <c r="X32" s="51"/>
      <c r="AC32" s="51"/>
      <c r="AH32" s="51"/>
      <c r="AM32" s="51"/>
      <c r="AR32" s="51"/>
      <c r="AW32" s="51"/>
      <c r="BC32" s="51"/>
    </row>
    <row r="33" spans="9:55" ht="12.75">
      <c r="I33" s="51"/>
      <c r="S33" s="131"/>
      <c r="X33" s="51"/>
      <c r="AC33" s="51"/>
      <c r="AH33" s="51"/>
      <c r="AM33" s="51"/>
      <c r="AR33" s="51"/>
      <c r="AW33" s="51"/>
      <c r="BC33" s="51"/>
    </row>
    <row r="41" ht="12.75">
      <c r="L41" s="76"/>
    </row>
    <row r="42" ht="12.75">
      <c r="L42" s="76"/>
    </row>
    <row r="43" ht="12.75">
      <c r="L43" s="48"/>
    </row>
    <row r="44" ht="12.75">
      <c r="L44" s="48"/>
    </row>
    <row r="45" ht="12.75">
      <c r="L45" s="48"/>
    </row>
    <row r="46" ht="12.75">
      <c r="L46" s="48"/>
    </row>
    <row r="47" spans="12:15" ht="12.75">
      <c r="L47" s="48"/>
      <c r="N47" s="58"/>
      <c r="O47" s="59"/>
    </row>
    <row r="48" ht="12.75">
      <c r="L48" s="48"/>
    </row>
    <row r="49" ht="12.75">
      <c r="L49" s="48"/>
    </row>
    <row r="50" spans="9:10" ht="12.75">
      <c r="I50" s="58"/>
      <c r="J50" s="59"/>
    </row>
    <row r="51" spans="8:92" ht="12.75">
      <c r="H51" s="62" t="s">
        <v>62</v>
      </c>
      <c r="J51" s="76"/>
      <c r="N51" s="130"/>
      <c r="O51" s="127"/>
      <c r="P51" s="129"/>
      <c r="R51" s="57"/>
      <c r="S51" s="60"/>
      <c r="T51" s="57"/>
      <c r="U51" s="59"/>
      <c r="CL51" s="57"/>
      <c r="CN51" s="57"/>
    </row>
    <row r="52" spans="8:92" ht="12.75">
      <c r="H52" s="72">
        <f>I4</f>
        <v>0.006701388888888889</v>
      </c>
      <c r="L52" s="48"/>
      <c r="N52" s="57"/>
      <c r="O52" s="59"/>
      <c r="P52" s="57"/>
      <c r="Q52" s="127"/>
      <c r="R52" s="130"/>
      <c r="S52" s="127"/>
      <c r="T52" s="129"/>
      <c r="U52" s="57"/>
      <c r="W52" s="60"/>
      <c r="X52" s="57"/>
      <c r="Y52" s="59"/>
      <c r="Z52" s="57"/>
      <c r="AB52" s="60"/>
      <c r="AC52" s="57"/>
      <c r="AD52" s="59"/>
      <c r="AE52" s="57"/>
      <c r="AG52" s="60"/>
      <c r="AH52" s="57"/>
      <c r="AI52" s="59"/>
      <c r="AJ52" s="57"/>
      <c r="AL52" s="60"/>
      <c r="AM52" s="57"/>
      <c r="AN52" s="59"/>
      <c r="AO52" s="57"/>
      <c r="AQ52" s="60"/>
      <c r="AR52" s="57"/>
      <c r="AS52" s="59"/>
      <c r="AT52" s="57"/>
      <c r="AV52" s="60"/>
      <c r="AW52" s="57"/>
      <c r="AX52" s="59"/>
      <c r="AY52" s="57"/>
      <c r="BB52" s="60"/>
      <c r="BC52" s="57"/>
      <c r="BD52" s="59"/>
      <c r="BE52" s="57"/>
      <c r="BG52" s="60"/>
      <c r="BH52" s="57"/>
      <c r="BI52" s="59"/>
      <c r="BJ52" s="57"/>
      <c r="BL52" s="60"/>
      <c r="BM52" s="57"/>
      <c r="BN52" s="59"/>
      <c r="BO52" s="57"/>
      <c r="BQ52" s="60"/>
      <c r="BR52" s="57"/>
      <c r="BS52" s="59"/>
      <c r="BT52" s="57"/>
      <c r="BV52" s="60"/>
      <c r="BW52" s="57"/>
      <c r="BX52" s="59"/>
      <c r="BY52" s="57"/>
      <c r="CA52" s="60"/>
      <c r="CB52" s="57"/>
      <c r="CC52" s="59"/>
      <c r="CD52" s="57"/>
      <c r="CF52" s="60"/>
      <c r="CG52" s="57"/>
      <c r="CH52" s="59"/>
      <c r="CI52" s="57"/>
      <c r="CK52" s="60"/>
      <c r="CL52" s="57"/>
      <c r="CM52" s="59"/>
      <c r="CN52" s="57"/>
    </row>
    <row r="53" spans="8:92" ht="12.75">
      <c r="H53" s="72">
        <f>I5</f>
        <v>0.007222222222222223</v>
      </c>
      <c r="L53" s="48"/>
      <c r="N53" s="57"/>
      <c r="O53" s="59"/>
      <c r="P53" s="57"/>
      <c r="Q53" s="127"/>
      <c r="R53" s="130"/>
      <c r="S53" s="127"/>
      <c r="T53" s="129"/>
      <c r="U53" s="57"/>
      <c r="W53" s="60"/>
      <c r="X53" s="57"/>
      <c r="Y53" s="59"/>
      <c r="Z53" s="57"/>
      <c r="AB53" s="60"/>
      <c r="AC53" s="57"/>
      <c r="AD53" s="59"/>
      <c r="AE53" s="57"/>
      <c r="AG53" s="60"/>
      <c r="AH53" s="57"/>
      <c r="AI53" s="59"/>
      <c r="AJ53" s="57"/>
      <c r="AL53" s="60"/>
      <c r="AM53" s="57"/>
      <c r="AN53" s="59"/>
      <c r="AO53" s="57"/>
      <c r="AQ53" s="60"/>
      <c r="AR53" s="57"/>
      <c r="AS53" s="59"/>
      <c r="AT53" s="57"/>
      <c r="AV53" s="60"/>
      <c r="AW53" s="57"/>
      <c r="AX53" s="59"/>
      <c r="AY53" s="57"/>
      <c r="BB53" s="60"/>
      <c r="BC53" s="57"/>
      <c r="BD53" s="59"/>
      <c r="BE53" s="57"/>
      <c r="BG53" s="60"/>
      <c r="BH53" s="57"/>
      <c r="BI53" s="59"/>
      <c r="BJ53" s="57"/>
      <c r="BL53" s="60"/>
      <c r="BM53" s="57"/>
      <c r="BN53" s="59"/>
      <c r="BO53" s="57"/>
      <c r="BQ53" s="60"/>
      <c r="BR53" s="57"/>
      <c r="BS53" s="59"/>
      <c r="BT53" s="57"/>
      <c r="BV53" s="60"/>
      <c r="BW53" s="57"/>
      <c r="BX53" s="59"/>
      <c r="BY53" s="57"/>
      <c r="CA53" s="60"/>
      <c r="CB53" s="57"/>
      <c r="CC53" s="59"/>
      <c r="CD53" s="57"/>
      <c r="CF53" s="60"/>
      <c r="CG53" s="57"/>
      <c r="CH53" s="59"/>
      <c r="CI53" s="57"/>
      <c r="CK53" s="60"/>
      <c r="CL53" s="57"/>
      <c r="CM53" s="59"/>
      <c r="CN53" s="57"/>
    </row>
    <row r="54" spans="8:92" ht="12.75">
      <c r="H54" s="72">
        <f>I6</f>
        <v>0.007071759259259259</v>
      </c>
      <c r="L54" s="48"/>
      <c r="N54" s="57"/>
      <c r="O54" s="59"/>
      <c r="P54" s="57"/>
      <c r="Q54" s="127"/>
      <c r="R54" s="130"/>
      <c r="S54" s="127"/>
      <c r="T54" s="129"/>
      <c r="U54" s="57"/>
      <c r="W54" s="60"/>
      <c r="X54" s="57"/>
      <c r="Y54" s="59"/>
      <c r="Z54" s="57"/>
      <c r="AB54" s="60"/>
      <c r="AC54" s="57"/>
      <c r="AD54" s="59"/>
      <c r="AE54" s="57"/>
      <c r="AG54" s="60"/>
      <c r="AH54" s="57"/>
      <c r="AI54" s="59"/>
      <c r="AJ54" s="57"/>
      <c r="AL54" s="60"/>
      <c r="AM54" s="57"/>
      <c r="AN54" s="59"/>
      <c r="AO54" s="57"/>
      <c r="AQ54" s="60"/>
      <c r="AR54" s="57"/>
      <c r="AS54" s="59"/>
      <c r="AT54" s="57"/>
      <c r="AV54" s="60"/>
      <c r="AW54" s="57"/>
      <c r="AX54" s="59"/>
      <c r="AY54" s="57"/>
      <c r="BB54" s="60"/>
      <c r="BC54" s="57"/>
      <c r="BD54" s="59"/>
      <c r="BE54" s="57"/>
      <c r="BG54" s="60"/>
      <c r="BH54" s="57"/>
      <c r="BI54" s="59"/>
      <c r="BJ54" s="57"/>
      <c r="BL54" s="60"/>
      <c r="BM54" s="57"/>
      <c r="BN54" s="59"/>
      <c r="BO54" s="57"/>
      <c r="BQ54" s="60"/>
      <c r="BR54" s="57"/>
      <c r="BS54" s="59"/>
      <c r="BT54" s="57"/>
      <c r="BV54" s="60"/>
      <c r="BW54" s="57"/>
      <c r="BX54" s="59"/>
      <c r="BY54" s="57"/>
      <c r="CA54" s="60"/>
      <c r="CB54" s="57"/>
      <c r="CC54" s="59"/>
      <c r="CD54" s="57"/>
      <c r="CF54" s="60"/>
      <c r="CG54" s="57"/>
      <c r="CH54" s="59"/>
      <c r="CI54" s="57"/>
      <c r="CK54" s="60"/>
      <c r="CL54" s="57"/>
      <c r="CM54" s="59"/>
      <c r="CN54" s="57"/>
    </row>
    <row r="55" spans="8:92" ht="12.75">
      <c r="H55" s="72">
        <f>I7</f>
        <v>0.007025462962962963</v>
      </c>
      <c r="L55" s="48"/>
      <c r="N55" s="57"/>
      <c r="O55" s="59"/>
      <c r="P55" s="57"/>
      <c r="Q55" s="127"/>
      <c r="R55" s="130"/>
      <c r="S55" s="127"/>
      <c r="T55" s="129"/>
      <c r="U55" s="57"/>
      <c r="W55" s="60"/>
      <c r="X55" s="57"/>
      <c r="Y55" s="59"/>
      <c r="Z55" s="57"/>
      <c r="AB55" s="60"/>
      <c r="AC55" s="57"/>
      <c r="AD55" s="59"/>
      <c r="AE55" s="57"/>
      <c r="AG55" s="60"/>
      <c r="AH55" s="57"/>
      <c r="AI55" s="59"/>
      <c r="AJ55" s="57"/>
      <c r="AL55" s="60"/>
      <c r="AM55" s="57"/>
      <c r="AN55" s="59"/>
      <c r="AO55" s="57"/>
      <c r="AQ55" s="60"/>
      <c r="AR55" s="57"/>
      <c r="AS55" s="59"/>
      <c r="AT55" s="57"/>
      <c r="AV55" s="60"/>
      <c r="AW55" s="57"/>
      <c r="AX55" s="59"/>
      <c r="AY55" s="57"/>
      <c r="BB55" s="60"/>
      <c r="BC55" s="57"/>
      <c r="BD55" s="59"/>
      <c r="BE55" s="57"/>
      <c r="BG55" s="60"/>
      <c r="BH55" s="57"/>
      <c r="BI55" s="59"/>
      <c r="BJ55" s="57"/>
      <c r="BL55" s="60"/>
      <c r="BM55" s="57"/>
      <c r="BN55" s="59"/>
      <c r="BO55" s="57"/>
      <c r="BQ55" s="60"/>
      <c r="BR55" s="57"/>
      <c r="BS55" s="59"/>
      <c r="BT55" s="57"/>
      <c r="BV55" s="60"/>
      <c r="BW55" s="57"/>
      <c r="BX55" s="59"/>
      <c r="BY55" s="57"/>
      <c r="CA55" s="60"/>
      <c r="CB55" s="57"/>
      <c r="CC55" s="59"/>
      <c r="CD55" s="57"/>
      <c r="CF55" s="60"/>
      <c r="CG55" s="57"/>
      <c r="CH55" s="59"/>
      <c r="CI55" s="57"/>
      <c r="CK55" s="60"/>
      <c r="CL55" s="57"/>
      <c r="CM55" s="59"/>
      <c r="CN55" s="57"/>
    </row>
    <row r="56" spans="8:92" ht="12.75">
      <c r="H56" s="72">
        <f>I8</f>
        <v>0.007071759259259259</v>
      </c>
      <c r="L56" s="48"/>
      <c r="N56" s="57"/>
      <c r="O56" s="59"/>
      <c r="P56" s="57"/>
      <c r="Q56" s="127"/>
      <c r="R56" s="130"/>
      <c r="S56" s="127"/>
      <c r="T56" s="129"/>
      <c r="U56" s="57"/>
      <c r="W56" s="60"/>
      <c r="X56" s="57"/>
      <c r="Y56" s="59"/>
      <c r="Z56" s="57"/>
      <c r="AB56" s="60"/>
      <c r="AC56" s="57"/>
      <c r="AD56" s="59"/>
      <c r="AE56" s="57"/>
      <c r="AG56" s="60"/>
      <c r="AH56" s="57"/>
      <c r="AI56" s="59"/>
      <c r="AJ56" s="57"/>
      <c r="AL56" s="60"/>
      <c r="AM56" s="57"/>
      <c r="AN56" s="59"/>
      <c r="AO56" s="57"/>
      <c r="AQ56" s="60"/>
      <c r="AR56" s="57"/>
      <c r="AS56" s="59"/>
      <c r="AT56" s="57"/>
      <c r="AV56" s="60"/>
      <c r="AW56" s="57"/>
      <c r="AX56" s="59"/>
      <c r="AY56" s="57"/>
      <c r="BB56" s="60"/>
      <c r="BC56" s="57"/>
      <c r="BD56" s="59"/>
      <c r="BE56" s="57"/>
      <c r="BG56" s="60"/>
      <c r="BH56" s="57"/>
      <c r="BI56" s="59"/>
      <c r="BJ56" s="57"/>
      <c r="BL56" s="60"/>
      <c r="BM56" s="57"/>
      <c r="BN56" s="59"/>
      <c r="BO56" s="57"/>
      <c r="BQ56" s="60"/>
      <c r="BR56" s="57"/>
      <c r="BS56" s="59"/>
      <c r="BT56" s="57"/>
      <c r="BV56" s="60"/>
      <c r="BW56" s="57"/>
      <c r="BX56" s="59"/>
      <c r="BY56" s="57"/>
      <c r="CA56" s="60"/>
      <c r="CB56" s="57"/>
      <c r="CC56" s="59"/>
      <c r="CD56" s="57"/>
      <c r="CF56" s="60"/>
      <c r="CG56" s="57"/>
      <c r="CH56" s="59"/>
      <c r="CI56" s="57"/>
      <c r="CK56" s="60"/>
      <c r="CL56" s="57"/>
      <c r="CM56" s="59"/>
      <c r="CN56" s="57"/>
    </row>
    <row r="57" spans="8:92" ht="12.75">
      <c r="H57" s="72">
        <f>N4</f>
        <v>0.007476851851851853</v>
      </c>
      <c r="L57" s="48"/>
      <c r="N57" s="57"/>
      <c r="O57" s="59"/>
      <c r="P57" s="57"/>
      <c r="Q57" s="127"/>
      <c r="R57" s="130"/>
      <c r="S57" s="127"/>
      <c r="T57" s="129"/>
      <c r="U57" s="57"/>
      <c r="W57" s="60"/>
      <c r="X57" s="57"/>
      <c r="Y57" s="59"/>
      <c r="Z57" s="57"/>
      <c r="AB57" s="60"/>
      <c r="AC57" s="57"/>
      <c r="AD57" s="59"/>
      <c r="AE57" s="57"/>
      <c r="AG57" s="60"/>
      <c r="AH57" s="57"/>
      <c r="AI57" s="59"/>
      <c r="AJ57" s="57"/>
      <c r="AL57" s="60"/>
      <c r="AM57" s="57"/>
      <c r="AN57" s="59"/>
      <c r="AO57" s="57"/>
      <c r="AQ57" s="60"/>
      <c r="AR57" s="57"/>
      <c r="AS57" s="59"/>
      <c r="AT57" s="57"/>
      <c r="AV57" s="60"/>
      <c r="AW57" s="57"/>
      <c r="AX57" s="59"/>
      <c r="AY57" s="57"/>
      <c r="BB57" s="60"/>
      <c r="BC57" s="57"/>
      <c r="BD57" s="59"/>
      <c r="BE57" s="57"/>
      <c r="BG57" s="60"/>
      <c r="BH57" s="57"/>
      <c r="BI57" s="59"/>
      <c r="BJ57" s="57"/>
      <c r="BL57" s="60"/>
      <c r="BM57" s="57"/>
      <c r="BN57" s="59"/>
      <c r="BO57" s="57"/>
      <c r="BQ57" s="60"/>
      <c r="BR57" s="57"/>
      <c r="BS57" s="59"/>
      <c r="BT57" s="57"/>
      <c r="BV57" s="60"/>
      <c r="BW57" s="57"/>
      <c r="BX57" s="59"/>
      <c r="BY57" s="57"/>
      <c r="CA57" s="60"/>
      <c r="CB57" s="57"/>
      <c r="CC57" s="59"/>
      <c r="CD57" s="57"/>
      <c r="CF57" s="60"/>
      <c r="CG57" s="57"/>
      <c r="CH57" s="59"/>
      <c r="CI57" s="57"/>
      <c r="CK57" s="60"/>
      <c r="CL57" s="57"/>
      <c r="CM57" s="59"/>
      <c r="CN57" s="57"/>
    </row>
    <row r="58" spans="8:92" ht="12.75">
      <c r="H58" s="72">
        <f>N5</f>
        <v>0.0076157407407407415</v>
      </c>
      <c r="L58" s="48"/>
      <c r="N58" s="57"/>
      <c r="O58" s="59"/>
      <c r="P58" s="57"/>
      <c r="Q58" s="127"/>
      <c r="R58" s="130"/>
      <c r="S58" s="127"/>
      <c r="T58" s="129"/>
      <c r="U58" s="57"/>
      <c r="W58" s="60"/>
      <c r="X58" s="57"/>
      <c r="Y58" s="59"/>
      <c r="Z58" s="57"/>
      <c r="AB58" s="60"/>
      <c r="AC58" s="57"/>
      <c r="AD58" s="59"/>
      <c r="AE58" s="57"/>
      <c r="AG58" s="60"/>
      <c r="AH58" s="57"/>
      <c r="AI58" s="59"/>
      <c r="AJ58" s="57"/>
      <c r="AL58" s="60"/>
      <c r="AM58" s="57"/>
      <c r="AN58" s="59"/>
      <c r="AO58" s="57"/>
      <c r="AQ58" s="60"/>
      <c r="AR58" s="57"/>
      <c r="AS58" s="59"/>
      <c r="AT58" s="57"/>
      <c r="AV58" s="60"/>
      <c r="AW58" s="57"/>
      <c r="AX58" s="59"/>
      <c r="AY58" s="57"/>
      <c r="BB58" s="60"/>
      <c r="BC58" s="57"/>
      <c r="BD58" s="59"/>
      <c r="BE58" s="57"/>
      <c r="BG58" s="60"/>
      <c r="BH58" s="57"/>
      <c r="BI58" s="59"/>
      <c r="BJ58" s="57"/>
      <c r="BL58" s="60"/>
      <c r="BM58" s="57"/>
      <c r="BN58" s="59"/>
      <c r="BO58" s="57"/>
      <c r="BQ58" s="60"/>
      <c r="BR58" s="57"/>
      <c r="BS58" s="59"/>
      <c r="BT58" s="57"/>
      <c r="BV58" s="60"/>
      <c r="BW58" s="57"/>
      <c r="BX58" s="59"/>
      <c r="BY58" s="57"/>
      <c r="CA58" s="60"/>
      <c r="CB58" s="57"/>
      <c r="CC58" s="59"/>
      <c r="CD58" s="57"/>
      <c r="CF58" s="60"/>
      <c r="CG58" s="57"/>
      <c r="CH58" s="59"/>
      <c r="CI58" s="57"/>
      <c r="CK58" s="60"/>
      <c r="CL58" s="57"/>
      <c r="CM58" s="59"/>
      <c r="CN58" s="57"/>
    </row>
    <row r="59" spans="8:92" ht="12.75">
      <c r="H59" s="72">
        <f>N6</f>
        <v>0.007326388888888889</v>
      </c>
      <c r="N59" s="57"/>
      <c r="O59" s="59"/>
      <c r="P59" s="57"/>
      <c r="Q59" s="127"/>
      <c r="R59" s="130"/>
      <c r="S59" s="127"/>
      <c r="T59" s="129"/>
      <c r="U59" s="57"/>
      <c r="W59" s="60"/>
      <c r="X59" s="57"/>
      <c r="Y59" s="59"/>
      <c r="Z59" s="57"/>
      <c r="AB59" s="60"/>
      <c r="AC59" s="57"/>
      <c r="AD59" s="59"/>
      <c r="AE59" s="57"/>
      <c r="AG59" s="60"/>
      <c r="AH59" s="57"/>
      <c r="AI59" s="59"/>
      <c r="AJ59" s="57"/>
      <c r="AL59" s="60"/>
      <c r="AM59" s="57"/>
      <c r="AN59" s="59"/>
      <c r="AO59" s="57"/>
      <c r="AQ59" s="60"/>
      <c r="AR59" s="57"/>
      <c r="AS59" s="59"/>
      <c r="AT59" s="57"/>
      <c r="AV59" s="60"/>
      <c r="AW59" s="57"/>
      <c r="AX59" s="59"/>
      <c r="AY59" s="57"/>
      <c r="BB59" s="60"/>
      <c r="BC59" s="57"/>
      <c r="BD59" s="59"/>
      <c r="BE59" s="57"/>
      <c r="BG59" s="60"/>
      <c r="BH59" s="57"/>
      <c r="BI59" s="59"/>
      <c r="BJ59" s="57"/>
      <c r="BL59" s="60"/>
      <c r="BM59" s="57"/>
      <c r="BN59" s="59"/>
      <c r="BO59" s="57"/>
      <c r="BQ59" s="60"/>
      <c r="BR59" s="57"/>
      <c r="BS59" s="59"/>
      <c r="BT59" s="57"/>
      <c r="BV59" s="60"/>
      <c r="BW59" s="57"/>
      <c r="BX59" s="59"/>
      <c r="BY59" s="57"/>
      <c r="CA59" s="60"/>
      <c r="CB59" s="57"/>
      <c r="CC59" s="59"/>
      <c r="CD59" s="57"/>
      <c r="CF59" s="60"/>
      <c r="CG59" s="57"/>
      <c r="CH59" s="59"/>
      <c r="CI59" s="57"/>
      <c r="CK59" s="60"/>
      <c r="CL59" s="57"/>
      <c r="CM59" s="59"/>
      <c r="CN59" s="57"/>
    </row>
    <row r="60" spans="8:92" ht="12.75">
      <c r="H60" s="72">
        <f>N7</f>
        <v>0.007141203703703704</v>
      </c>
      <c r="N60" s="57"/>
      <c r="O60" s="59"/>
      <c r="P60" s="57"/>
      <c r="Q60" s="127"/>
      <c r="R60" s="130"/>
      <c r="S60" s="127"/>
      <c r="T60" s="129"/>
      <c r="U60" s="57"/>
      <c r="W60" s="60"/>
      <c r="X60" s="57"/>
      <c r="Y60" s="59"/>
      <c r="Z60" s="57"/>
      <c r="AB60" s="60"/>
      <c r="AC60" s="57"/>
      <c r="AD60" s="59"/>
      <c r="AE60" s="57"/>
      <c r="AG60" s="60"/>
      <c r="AH60" s="57"/>
      <c r="AI60" s="59"/>
      <c r="AJ60" s="57"/>
      <c r="AL60" s="60"/>
      <c r="AM60" s="57"/>
      <c r="AN60" s="59"/>
      <c r="AO60" s="57"/>
      <c r="AQ60" s="60"/>
      <c r="AR60" s="57"/>
      <c r="AS60" s="59"/>
      <c r="AT60" s="57"/>
      <c r="AV60" s="60"/>
      <c r="AW60" s="57"/>
      <c r="AX60" s="59"/>
      <c r="AY60" s="57"/>
      <c r="BB60" s="60"/>
      <c r="BC60" s="57"/>
      <c r="BD60" s="59"/>
      <c r="BE60" s="57"/>
      <c r="BG60" s="60"/>
      <c r="BH60" s="57"/>
      <c r="BI60" s="59"/>
      <c r="BJ60" s="57"/>
      <c r="BL60" s="60"/>
      <c r="BM60" s="57"/>
      <c r="BN60" s="59"/>
      <c r="BO60" s="57"/>
      <c r="BQ60" s="60"/>
      <c r="BR60" s="57"/>
      <c r="BS60" s="59"/>
      <c r="BT60" s="57"/>
      <c r="BV60" s="60"/>
      <c r="BW60" s="57"/>
      <c r="BX60" s="59"/>
      <c r="BY60" s="57"/>
      <c r="CA60" s="60"/>
      <c r="CB60" s="57"/>
      <c r="CC60" s="59"/>
      <c r="CD60" s="57"/>
      <c r="CF60" s="60"/>
      <c r="CG60" s="57"/>
      <c r="CH60" s="59"/>
      <c r="CI60" s="57"/>
      <c r="CK60" s="60"/>
      <c r="CL60" s="57"/>
      <c r="CM60" s="59"/>
      <c r="CN60" s="57"/>
    </row>
    <row r="61" spans="8:92" ht="12.75">
      <c r="H61" s="72">
        <f>N8</f>
        <v>0.007071759259259259</v>
      </c>
      <c r="N61" s="57"/>
      <c r="O61" s="59"/>
      <c r="P61" s="57"/>
      <c r="Q61" s="127"/>
      <c r="R61" s="130"/>
      <c r="S61" s="127"/>
      <c r="T61" s="129"/>
      <c r="U61" s="57"/>
      <c r="W61" s="60"/>
      <c r="X61" s="57"/>
      <c r="Y61" s="59"/>
      <c r="Z61" s="57"/>
      <c r="AB61" s="60"/>
      <c r="AC61" s="57"/>
      <c r="AD61" s="59"/>
      <c r="AE61" s="57"/>
      <c r="AG61" s="60"/>
      <c r="AH61" s="57"/>
      <c r="AI61" s="59"/>
      <c r="AJ61" s="57"/>
      <c r="AL61" s="60"/>
      <c r="AM61" s="57"/>
      <c r="AN61" s="59"/>
      <c r="AO61" s="57"/>
      <c r="AQ61" s="60"/>
      <c r="AR61" s="57"/>
      <c r="AS61" s="59"/>
      <c r="AT61" s="57"/>
      <c r="AV61" s="60"/>
      <c r="AW61" s="57"/>
      <c r="AX61" s="59"/>
      <c r="AY61" s="57"/>
      <c r="BB61" s="60"/>
      <c r="BC61" s="57"/>
      <c r="BD61" s="59"/>
      <c r="BE61" s="57"/>
      <c r="BG61" s="60"/>
      <c r="BH61" s="57"/>
      <c r="BI61" s="59"/>
      <c r="BJ61" s="57"/>
      <c r="BL61" s="60"/>
      <c r="BM61" s="57"/>
      <c r="BN61" s="59"/>
      <c r="BO61" s="57"/>
      <c r="BQ61" s="60"/>
      <c r="BR61" s="57"/>
      <c r="BS61" s="59"/>
      <c r="BT61" s="57"/>
      <c r="BV61" s="60"/>
      <c r="BW61" s="57"/>
      <c r="BX61" s="59"/>
      <c r="BY61" s="57"/>
      <c r="CA61" s="60"/>
      <c r="CB61" s="57"/>
      <c r="CC61" s="59"/>
      <c r="CD61" s="57"/>
      <c r="CF61" s="60"/>
      <c r="CG61" s="57"/>
      <c r="CH61" s="59"/>
      <c r="CI61" s="57"/>
      <c r="CK61" s="60"/>
      <c r="CL61" s="57"/>
      <c r="CM61" s="59"/>
      <c r="CN61" s="57"/>
    </row>
    <row r="62" spans="14:92" ht="12.75">
      <c r="N62" s="57"/>
      <c r="O62" s="59"/>
      <c r="P62" s="57"/>
      <c r="Q62" s="127"/>
      <c r="R62" s="130"/>
      <c r="S62" s="127"/>
      <c r="T62" s="129"/>
      <c r="U62" s="57"/>
      <c r="W62" s="60"/>
      <c r="X62" s="57"/>
      <c r="Y62" s="59"/>
      <c r="Z62" s="57"/>
      <c r="AB62" s="60"/>
      <c r="AC62" s="57"/>
      <c r="AD62" s="59"/>
      <c r="AE62" s="57"/>
      <c r="AG62" s="60"/>
      <c r="AH62" s="57"/>
      <c r="AI62" s="59"/>
      <c r="AJ62" s="57"/>
      <c r="AL62" s="60"/>
      <c r="AM62" s="57"/>
      <c r="AN62" s="59"/>
      <c r="AO62" s="57"/>
      <c r="AQ62" s="60"/>
      <c r="AR62" s="57"/>
      <c r="AS62" s="59"/>
      <c r="AT62" s="57"/>
      <c r="AV62" s="60"/>
      <c r="AW62" s="57"/>
      <c r="AX62" s="59"/>
      <c r="AY62" s="57"/>
      <c r="BB62" s="60"/>
      <c r="BC62" s="57"/>
      <c r="BD62" s="59"/>
      <c r="BE62" s="57"/>
      <c r="BG62" s="60"/>
      <c r="BH62" s="57"/>
      <c r="BI62" s="59"/>
      <c r="BJ62" s="57"/>
      <c r="BL62" s="60"/>
      <c r="BM62" s="57"/>
      <c r="BN62" s="59"/>
      <c r="BO62" s="57"/>
      <c r="BQ62" s="60"/>
      <c r="BR62" s="57"/>
      <c r="BS62" s="59"/>
      <c r="BT62" s="57"/>
      <c r="BV62" s="60"/>
      <c r="BW62" s="57"/>
      <c r="BX62" s="59"/>
      <c r="BY62" s="57"/>
      <c r="CA62" s="60"/>
      <c r="CB62" s="57"/>
      <c r="CC62" s="59"/>
      <c r="CD62" s="57"/>
      <c r="CF62" s="60"/>
      <c r="CG62" s="57"/>
      <c r="CH62" s="59"/>
      <c r="CI62" s="57"/>
      <c r="CK62" s="60"/>
      <c r="CL62" s="57"/>
      <c r="CM62" s="59"/>
      <c r="CN62" s="57"/>
    </row>
    <row r="63" spans="14:92" ht="12.75">
      <c r="N63" s="57"/>
      <c r="O63" s="59"/>
      <c r="P63" s="57"/>
      <c r="Q63" s="127"/>
      <c r="R63" s="130"/>
      <c r="S63" s="127"/>
      <c r="T63" s="129"/>
      <c r="U63" s="57"/>
      <c r="W63" s="60"/>
      <c r="X63" s="57"/>
      <c r="Y63" s="59"/>
      <c r="Z63" s="57"/>
      <c r="AB63" s="60"/>
      <c r="AC63" s="57"/>
      <c r="AD63" s="59"/>
      <c r="AE63" s="57"/>
      <c r="AG63" s="60"/>
      <c r="AH63" s="57"/>
      <c r="AI63" s="59"/>
      <c r="AJ63" s="57"/>
      <c r="AL63" s="60"/>
      <c r="AM63" s="57"/>
      <c r="AN63" s="59"/>
      <c r="AO63" s="57"/>
      <c r="AQ63" s="60"/>
      <c r="AR63" s="57"/>
      <c r="AS63" s="59"/>
      <c r="AT63" s="57"/>
      <c r="AV63" s="60"/>
      <c r="AW63" s="57"/>
      <c r="AX63" s="59"/>
      <c r="AY63" s="57"/>
      <c r="BB63" s="60"/>
      <c r="BC63" s="57"/>
      <c r="BD63" s="59"/>
      <c r="BE63" s="57"/>
      <c r="BG63" s="60"/>
      <c r="BH63" s="57"/>
      <c r="BI63" s="59"/>
      <c r="BJ63" s="57"/>
      <c r="BL63" s="60"/>
      <c r="BM63" s="57"/>
      <c r="BN63" s="59"/>
      <c r="BO63" s="57"/>
      <c r="BQ63" s="60"/>
      <c r="BR63" s="57"/>
      <c r="BS63" s="59"/>
      <c r="BT63" s="57"/>
      <c r="BV63" s="60"/>
      <c r="BW63" s="57"/>
      <c r="BX63" s="59"/>
      <c r="BY63" s="57"/>
      <c r="CA63" s="60"/>
      <c r="CB63" s="57"/>
      <c r="CC63" s="59"/>
      <c r="CD63" s="57"/>
      <c r="CF63" s="60"/>
      <c r="CG63" s="57"/>
      <c r="CH63" s="59"/>
      <c r="CI63" s="57"/>
      <c r="CK63" s="60"/>
      <c r="CL63" s="57"/>
      <c r="CM63" s="59"/>
      <c r="CN63" s="57"/>
    </row>
    <row r="64" spans="14:92" ht="12.75">
      <c r="N64" s="57"/>
      <c r="O64" s="59"/>
      <c r="P64" s="57"/>
      <c r="Q64" s="127"/>
      <c r="R64" s="130"/>
      <c r="S64" s="127"/>
      <c r="T64" s="129"/>
      <c r="U64" s="57"/>
      <c r="W64" s="60"/>
      <c r="X64" s="57"/>
      <c r="Y64" s="59"/>
      <c r="Z64" s="57"/>
      <c r="AB64" s="60"/>
      <c r="AC64" s="57"/>
      <c r="AD64" s="59"/>
      <c r="AE64" s="57"/>
      <c r="AG64" s="60"/>
      <c r="AH64" s="57"/>
      <c r="AI64" s="59"/>
      <c r="AJ64" s="57"/>
      <c r="AL64" s="60"/>
      <c r="AM64" s="57"/>
      <c r="AN64" s="59"/>
      <c r="AO64" s="57"/>
      <c r="AQ64" s="60"/>
      <c r="AR64" s="57"/>
      <c r="AS64" s="59"/>
      <c r="AT64" s="57"/>
      <c r="AV64" s="60"/>
      <c r="AW64" s="57"/>
      <c r="AX64" s="59"/>
      <c r="AY64" s="57"/>
      <c r="BB64" s="60"/>
      <c r="BC64" s="57"/>
      <c r="BD64" s="59"/>
      <c r="BE64" s="57"/>
      <c r="BG64" s="60"/>
      <c r="BH64" s="57"/>
      <c r="BI64" s="59"/>
      <c r="BJ64" s="57"/>
      <c r="BL64" s="60"/>
      <c r="BM64" s="57"/>
      <c r="BN64" s="59"/>
      <c r="BO64" s="57"/>
      <c r="BQ64" s="60"/>
      <c r="BR64" s="57"/>
      <c r="BS64" s="59"/>
      <c r="BT64" s="57"/>
      <c r="BV64" s="60"/>
      <c r="BW64" s="57"/>
      <c r="BX64" s="59"/>
      <c r="BY64" s="57"/>
      <c r="CA64" s="60"/>
      <c r="CB64" s="57"/>
      <c r="CC64" s="59"/>
      <c r="CD64" s="57"/>
      <c r="CF64" s="60"/>
      <c r="CG64" s="57"/>
      <c r="CH64" s="59"/>
      <c r="CI64" s="57"/>
      <c r="CK64" s="60"/>
      <c r="CL64" s="57"/>
      <c r="CM64" s="59"/>
      <c r="CN64" s="57"/>
    </row>
    <row r="65" spans="14:92" ht="12.75">
      <c r="N65" s="57"/>
      <c r="O65" s="59"/>
      <c r="P65" s="57"/>
      <c r="Q65" s="127"/>
      <c r="R65" s="130"/>
      <c r="S65" s="127"/>
      <c r="T65" s="129"/>
      <c r="U65" s="57"/>
      <c r="W65" s="60"/>
      <c r="X65" s="57"/>
      <c r="Y65" s="59"/>
      <c r="Z65" s="57"/>
      <c r="AB65" s="60"/>
      <c r="AC65" s="57"/>
      <c r="AD65" s="59"/>
      <c r="AE65" s="57"/>
      <c r="AG65" s="60"/>
      <c r="AH65" s="57"/>
      <c r="AI65" s="59"/>
      <c r="AJ65" s="57"/>
      <c r="AL65" s="60"/>
      <c r="AM65" s="57"/>
      <c r="AN65" s="59"/>
      <c r="AO65" s="57"/>
      <c r="AQ65" s="60"/>
      <c r="AR65" s="57"/>
      <c r="AS65" s="59"/>
      <c r="AT65" s="57"/>
      <c r="AV65" s="60"/>
      <c r="AW65" s="57"/>
      <c r="AX65" s="59"/>
      <c r="AY65" s="57"/>
      <c r="BB65" s="60"/>
      <c r="BC65" s="57"/>
      <c r="BD65" s="59"/>
      <c r="BE65" s="57"/>
      <c r="BG65" s="60"/>
      <c r="BH65" s="57"/>
      <c r="BI65" s="59"/>
      <c r="BJ65" s="57"/>
      <c r="BL65" s="60"/>
      <c r="BM65" s="57"/>
      <c r="BN65" s="59"/>
      <c r="BO65" s="57"/>
      <c r="BQ65" s="60"/>
      <c r="BR65" s="57"/>
      <c r="BS65" s="59"/>
      <c r="BT65" s="57"/>
      <c r="BV65" s="60"/>
      <c r="BW65" s="57"/>
      <c r="BX65" s="59"/>
      <c r="BY65" s="57"/>
      <c r="CA65" s="60"/>
      <c r="CB65" s="57"/>
      <c r="CC65" s="59"/>
      <c r="CD65" s="57"/>
      <c r="CF65" s="60"/>
      <c r="CG65" s="57"/>
      <c r="CH65" s="59"/>
      <c r="CI65" s="57"/>
      <c r="CK65" s="60"/>
      <c r="CL65" s="57"/>
      <c r="CM65" s="59"/>
      <c r="CN65" s="57"/>
    </row>
    <row r="67" ht="12.75">
      <c r="H67" s="62" t="s">
        <v>63</v>
      </c>
    </row>
    <row r="68" ht="12.75">
      <c r="H68" s="72">
        <f>I12</f>
        <v>0.007418981481481481</v>
      </c>
    </row>
    <row r="69" ht="12.75">
      <c r="H69" s="72">
        <f>I13</f>
        <v>0.007627314814814815</v>
      </c>
    </row>
    <row r="70" ht="12.75">
      <c r="H70" s="72">
        <f>I14</f>
        <v>0.008113425925925925</v>
      </c>
    </row>
    <row r="71" ht="12.75">
      <c r="H71" s="72">
        <f>I15</f>
        <v>0.007604166666666666</v>
      </c>
    </row>
    <row r="72" ht="12.75">
      <c r="H72" s="72">
        <f>I16</f>
        <v>0.0075</v>
      </c>
    </row>
    <row r="73" ht="12.75">
      <c r="H73" s="72">
        <f>N12</f>
        <v>0.00900462962962963</v>
      </c>
    </row>
    <row r="74" ht="12.75">
      <c r="H74" s="72">
        <f>N13</f>
        <v>0.008229166666666666</v>
      </c>
    </row>
    <row r="75" ht="12.75">
      <c r="H75" s="72">
        <f>N14</f>
        <v>0.008229166666666666</v>
      </c>
    </row>
    <row r="76" ht="12.75">
      <c r="H76" s="72">
        <f>N15</f>
        <v>0.007962962962962963</v>
      </c>
    </row>
    <row r="77" ht="12.75">
      <c r="H77" s="72">
        <f>N16</f>
        <v>0.007743055555555556</v>
      </c>
    </row>
  </sheetData>
  <dataValidations count="5">
    <dataValidation type="list" allowBlank="1" showInputMessage="1" showErrorMessage="1" sqref="AQ12 AG12 AV4 AB12 AB4 H12 AL12 AQ4 W4 W12 M4 AL4 M12 AV12 H4 AG4">
      <formula1>$B$24:$E$24</formula1>
    </dataValidation>
    <dataValidation type="list" allowBlank="1" showInputMessage="1" showErrorMessage="1" sqref="AV13 AV5 AG13 AB13 H13 M13 AL13 AQ5 AB5 W13 W5 M5 H5 AL5 AQ13 AG5">
      <formula1>$B$25:$E$25</formula1>
    </dataValidation>
    <dataValidation type="list" allowBlank="1" showInputMessage="1" showErrorMessage="1" sqref="AV6 AG14 AL14 AB14 H14 AQ6 M14 AB6 W6 AQ14 W14 M6 H6 AL6 AV14 AG6">
      <formula1>$B$26:$E$26</formula1>
    </dataValidation>
    <dataValidation type="list" allowBlank="1" showInputMessage="1" showErrorMessage="1" sqref="AV7 AG15 AL15 AB15 H15 AQ7 M15 AB7 AV15 W15 W7 M7 H7 AL7 AQ15 AG7">
      <formula1>$B$27:$E$27</formula1>
    </dataValidation>
    <dataValidation type="list" allowBlank="1" showInputMessage="1" showErrorMessage="1" sqref="AV8 W16 AL16 AB16 H8 M8 W8 AB8 AG8 AL8 AQ8 AQ16 H16 AV16 AG16 M16">
      <formula1>$B$28:$E$28</formula1>
    </dataValidation>
  </dataValidations>
  <printOptions/>
  <pageMargins left="0.36" right="0.59" top="1" bottom="1" header="0.5" footer="0.5"/>
  <pageSetup fitToHeight="1" fitToWidth="1" horizontalDpi="300" verticalDpi="300" orientation="landscape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O15"/>
  <sheetViews>
    <sheetView showZeros="0" workbookViewId="0" topLeftCell="A1">
      <pane xSplit="1" topLeftCell="AY1" activePane="topRight" state="frozen"/>
      <selection pane="topLeft" activeCell="A1" sqref="A1"/>
      <selection pane="topRight" activeCell="BO11" sqref="BO11:BO15"/>
    </sheetView>
  </sheetViews>
  <sheetFormatPr defaultColWidth="9.140625" defaultRowHeight="12.75"/>
  <cols>
    <col min="1" max="1" width="24.140625" style="36" customWidth="1"/>
    <col min="2" max="2" width="32.7109375" style="90" customWidth="1"/>
    <col min="3" max="3" width="6.7109375" style="36" customWidth="1"/>
    <col min="4" max="4" width="10.140625" style="36" bestFit="1" customWidth="1"/>
    <col min="5" max="5" width="15.7109375" style="90" customWidth="1"/>
    <col min="6" max="6" width="6.7109375" style="36" customWidth="1"/>
    <col min="7" max="7" width="10.140625" style="36" bestFit="1" customWidth="1"/>
    <col min="8" max="8" width="15.7109375" style="90" customWidth="1"/>
    <col min="9" max="9" width="6.7109375" style="36" customWidth="1"/>
    <col min="10" max="10" width="10.140625" style="36" bestFit="1" customWidth="1"/>
    <col min="11" max="11" width="15.7109375" style="90" customWidth="1"/>
    <col min="12" max="12" width="6.7109375" style="36" customWidth="1"/>
    <col min="13" max="13" width="10.140625" style="36" bestFit="1" customWidth="1"/>
    <col min="14" max="14" width="15.7109375" style="90" customWidth="1"/>
    <col min="15" max="15" width="6.7109375" style="36" customWidth="1"/>
    <col min="16" max="16" width="10.140625" style="36" bestFit="1" customWidth="1"/>
    <col min="17" max="17" width="15.7109375" style="90" customWidth="1"/>
    <col min="18" max="18" width="6.7109375" style="36" customWidth="1"/>
    <col min="19" max="19" width="10.140625" style="36" bestFit="1" customWidth="1"/>
    <col min="20" max="20" width="15.7109375" style="90" customWidth="1"/>
    <col min="21" max="21" width="6.7109375" style="36" customWidth="1"/>
    <col min="22" max="22" width="10.140625" style="36" bestFit="1" customWidth="1"/>
    <col min="23" max="23" width="23.421875" style="36" customWidth="1"/>
    <col min="24" max="24" width="8.7109375" style="36" customWidth="1"/>
    <col min="25" max="25" width="10.7109375" style="36" customWidth="1"/>
    <col min="26" max="26" width="32.7109375" style="90" customWidth="1"/>
    <col min="27" max="27" width="6.7109375" style="36" customWidth="1"/>
    <col min="28" max="28" width="10.140625" style="36" bestFit="1" customWidth="1"/>
    <col min="29" max="29" width="15.7109375" style="90" customWidth="1"/>
    <col min="30" max="30" width="6.7109375" style="36" customWidth="1"/>
    <col min="31" max="31" width="10.140625" style="36" bestFit="1" customWidth="1"/>
    <col min="32" max="32" width="15.7109375" style="90" customWidth="1"/>
    <col min="33" max="33" width="6.7109375" style="36" customWidth="1"/>
    <col min="34" max="34" width="10.140625" style="36" bestFit="1" customWidth="1"/>
    <col min="35" max="35" width="15.7109375" style="90" customWidth="1"/>
    <col min="36" max="36" width="6.7109375" style="36" customWidth="1"/>
    <col min="37" max="37" width="10.140625" style="36" bestFit="1" customWidth="1"/>
    <col min="38" max="38" width="15.7109375" style="90" customWidth="1"/>
    <col min="39" max="39" width="6.7109375" style="36" customWidth="1"/>
    <col min="40" max="40" width="10.140625" style="36" bestFit="1" customWidth="1"/>
    <col min="41" max="41" width="15.7109375" style="90" customWidth="1"/>
    <col min="42" max="42" width="6.7109375" style="36" customWidth="1"/>
    <col min="43" max="43" width="10.140625" style="36" bestFit="1" customWidth="1"/>
    <col min="44" max="44" width="15.7109375" style="90" customWidth="1"/>
    <col min="45" max="45" width="6.7109375" style="36" customWidth="1"/>
    <col min="46" max="46" width="10.140625" style="36" bestFit="1" customWidth="1"/>
    <col min="47" max="47" width="23.421875" style="36" customWidth="1"/>
    <col min="48" max="48" width="8.7109375" style="36" customWidth="1"/>
    <col min="49" max="49" width="10.7109375" style="36" customWidth="1"/>
    <col min="50" max="50" width="52.140625" style="107" customWidth="1"/>
    <col min="51" max="51" width="16.00390625" style="107" customWidth="1"/>
    <col min="52" max="66" width="9.140625" style="107" customWidth="1"/>
    <col min="67" max="16384" width="9.140625" style="36" customWidth="1"/>
  </cols>
  <sheetData>
    <row r="2" spans="2:49" ht="12.75">
      <c r="B2" s="98" t="s">
        <v>5</v>
      </c>
      <c r="C2" s="99"/>
      <c r="D2" s="100"/>
      <c r="E2" s="98" t="s">
        <v>12</v>
      </c>
      <c r="F2" s="99"/>
      <c r="G2" s="100"/>
      <c r="H2" s="98" t="s">
        <v>13</v>
      </c>
      <c r="I2" s="99"/>
      <c r="J2" s="100"/>
      <c r="K2" s="98" t="s">
        <v>14</v>
      </c>
      <c r="L2" s="99"/>
      <c r="M2" s="100"/>
      <c r="N2" s="98" t="s">
        <v>15</v>
      </c>
      <c r="O2" s="99"/>
      <c r="P2" s="100"/>
      <c r="Q2" s="98" t="s">
        <v>16</v>
      </c>
      <c r="R2" s="99"/>
      <c r="S2" s="100"/>
      <c r="T2" s="98" t="s">
        <v>17</v>
      </c>
      <c r="U2" s="99"/>
      <c r="V2" s="100"/>
      <c r="W2" s="98" t="s">
        <v>85</v>
      </c>
      <c r="X2" s="98"/>
      <c r="Y2" s="160"/>
      <c r="Z2" s="98" t="s">
        <v>18</v>
      </c>
      <c r="AA2" s="99"/>
      <c r="AB2" s="100"/>
      <c r="AC2" s="98" t="s">
        <v>21</v>
      </c>
      <c r="AD2" s="99"/>
      <c r="AE2" s="100"/>
      <c r="AF2" s="98" t="s">
        <v>22</v>
      </c>
      <c r="AG2" s="99"/>
      <c r="AH2" s="100"/>
      <c r="AI2" s="98" t="s">
        <v>23</v>
      </c>
      <c r="AJ2" s="99"/>
      <c r="AK2" s="100"/>
      <c r="AL2" s="98" t="s">
        <v>24</v>
      </c>
      <c r="AM2" s="99"/>
      <c r="AN2" s="100"/>
      <c r="AO2" s="98" t="s">
        <v>25</v>
      </c>
      <c r="AP2" s="99"/>
      <c r="AQ2" s="100"/>
      <c r="AR2" s="98" t="s">
        <v>26</v>
      </c>
      <c r="AS2" s="99"/>
      <c r="AT2" s="100"/>
      <c r="AU2" s="98" t="s">
        <v>85</v>
      </c>
      <c r="AV2" s="98"/>
      <c r="AW2" s="160"/>
    </row>
    <row r="3" spans="1:66" s="38" customFormat="1" ht="19.5" customHeight="1">
      <c r="A3" s="91" t="s">
        <v>0</v>
      </c>
      <c r="B3" s="92" t="s">
        <v>6</v>
      </c>
      <c r="C3" s="93" t="s">
        <v>7</v>
      </c>
      <c r="D3" s="94" t="s">
        <v>41</v>
      </c>
      <c r="E3" s="95" t="s">
        <v>6</v>
      </c>
      <c r="F3" s="96" t="s">
        <v>7</v>
      </c>
      <c r="G3" s="97" t="s">
        <v>41</v>
      </c>
      <c r="H3" s="95" t="s">
        <v>6</v>
      </c>
      <c r="I3" s="96" t="s">
        <v>7</v>
      </c>
      <c r="J3" s="97" t="s">
        <v>41</v>
      </c>
      <c r="K3" s="95" t="s">
        <v>6</v>
      </c>
      <c r="L3" s="96" t="s">
        <v>7</v>
      </c>
      <c r="M3" s="97" t="s">
        <v>41</v>
      </c>
      <c r="N3" s="95" t="s">
        <v>6</v>
      </c>
      <c r="O3" s="96" t="s">
        <v>7</v>
      </c>
      <c r="P3" s="97" t="s">
        <v>41</v>
      </c>
      <c r="Q3" s="95" t="s">
        <v>6</v>
      </c>
      <c r="R3" s="96" t="s">
        <v>7</v>
      </c>
      <c r="S3" s="97" t="s">
        <v>41</v>
      </c>
      <c r="T3" s="95" t="s">
        <v>6</v>
      </c>
      <c r="U3" s="96" t="s">
        <v>7</v>
      </c>
      <c r="V3" s="97" t="s">
        <v>41</v>
      </c>
      <c r="W3" s="97" t="s">
        <v>86</v>
      </c>
      <c r="X3" s="97" t="s">
        <v>7</v>
      </c>
      <c r="Y3" s="97" t="s">
        <v>41</v>
      </c>
      <c r="Z3" s="95" t="s">
        <v>6</v>
      </c>
      <c r="AA3" s="96" t="s">
        <v>7</v>
      </c>
      <c r="AB3" s="97" t="s">
        <v>41</v>
      </c>
      <c r="AC3" s="95" t="s">
        <v>6</v>
      </c>
      <c r="AD3" s="96" t="s">
        <v>7</v>
      </c>
      <c r="AE3" s="97" t="s">
        <v>41</v>
      </c>
      <c r="AF3" s="95" t="s">
        <v>6</v>
      </c>
      <c r="AG3" s="96" t="s">
        <v>7</v>
      </c>
      <c r="AH3" s="97" t="s">
        <v>41</v>
      </c>
      <c r="AI3" s="95" t="s">
        <v>6</v>
      </c>
      <c r="AJ3" s="96" t="s">
        <v>7</v>
      </c>
      <c r="AK3" s="97" t="s">
        <v>41</v>
      </c>
      <c r="AL3" s="95" t="s">
        <v>6</v>
      </c>
      <c r="AM3" s="96" t="s">
        <v>7</v>
      </c>
      <c r="AN3" s="97" t="s">
        <v>41</v>
      </c>
      <c r="AO3" s="95" t="s">
        <v>6</v>
      </c>
      <c r="AP3" s="96" t="s">
        <v>7</v>
      </c>
      <c r="AQ3" s="97" t="s">
        <v>41</v>
      </c>
      <c r="AR3" s="95" t="s">
        <v>6</v>
      </c>
      <c r="AS3" s="96" t="s">
        <v>7</v>
      </c>
      <c r="AT3" s="97" t="s">
        <v>41</v>
      </c>
      <c r="AU3" s="97" t="s">
        <v>86</v>
      </c>
      <c r="AV3" s="97" t="s">
        <v>7</v>
      </c>
      <c r="AW3" s="97" t="s">
        <v>41</v>
      </c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</row>
    <row r="4" spans="1:66" s="38" customFormat="1" ht="19.5" customHeight="1">
      <c r="A4" s="86" t="str">
        <f>'Team Selection'!B3</f>
        <v>The Bradburys</v>
      </c>
      <c r="B4" s="87" t="str">
        <f>'Stage  Entry'!R4</f>
        <v>Stephen Paine &amp; Luke Gray</v>
      </c>
      <c r="C4" s="88">
        <f>'Stage  Entry'!S4</f>
        <v>0.014178240740740741</v>
      </c>
      <c r="D4" s="89">
        <f>C4</f>
        <v>0.014178240740740741</v>
      </c>
      <c r="E4" s="87" t="str">
        <f>'Stage  Entry'!W4</f>
        <v>Dale Nardella</v>
      </c>
      <c r="F4" s="88">
        <f>'Stage  Entry'!X4</f>
        <v>0.010439814814814813</v>
      </c>
      <c r="G4" s="89">
        <f>D4+F4</f>
        <v>0.024618055555555553</v>
      </c>
      <c r="H4" s="87" t="str">
        <f>'Stage  Entry'!AB4</f>
        <v>Anthony Mithen</v>
      </c>
      <c r="I4" s="88">
        <f>'Stage  Entry'!AC4</f>
        <v>0.009953703703703704</v>
      </c>
      <c r="J4" s="89">
        <f>G4+I4</f>
        <v>0.03457175925925926</v>
      </c>
      <c r="K4" s="87" t="str">
        <f>'Stage  Entry'!AG4</f>
        <v>Luke Gray</v>
      </c>
      <c r="L4" s="88">
        <f>'Stage  Entry'!AH4</f>
        <v>0.01037037037037037</v>
      </c>
      <c r="M4" s="89">
        <f>J4+L4</f>
        <v>0.04494212962962963</v>
      </c>
      <c r="N4" s="87" t="str">
        <f>'Stage  Entry'!AL4</f>
        <v>Stephen Paine</v>
      </c>
      <c r="O4" s="88">
        <f>'Stage  Entry'!AM4</f>
        <v>0.009976851851851853</v>
      </c>
      <c r="P4" s="89">
        <f>M4+O4</f>
        <v>0.054918981481481485</v>
      </c>
      <c r="Q4" s="87" t="str">
        <f>'Stage  Entry'!AQ4</f>
        <v>Dale Nardella</v>
      </c>
      <c r="R4" s="88">
        <f>'Stage  Entry'!AR4</f>
        <v>0.00951388888888889</v>
      </c>
      <c r="S4" s="89">
        <f>P4+R4</f>
        <v>0.06443287037037038</v>
      </c>
      <c r="T4" s="87" t="str">
        <f>'Stage  Entry'!AV4</f>
        <v>Anthony Mithen</v>
      </c>
      <c r="U4" s="88">
        <f>'Stage  Entry'!AW4</f>
        <v>0.008761574074074074</v>
      </c>
      <c r="V4" s="89">
        <f>S4+U4</f>
        <v>0.07319444444444445</v>
      </c>
      <c r="W4" s="87">
        <f>+'Stage  Entry'!BB4</f>
        <v>0</v>
      </c>
      <c r="X4" s="88">
        <f>+'Stage  Entry'!BC4</f>
        <v>0</v>
      </c>
      <c r="Y4" s="89">
        <f>V4+X4</f>
        <v>0.07319444444444445</v>
      </c>
      <c r="Z4" s="87" t="str">
        <f>'Stage  Entry'!R12</f>
        <v>Anthony Mithen &amp; Dale Nardella</v>
      </c>
      <c r="AA4" s="88">
        <f>'Stage  Entry'!S12</f>
        <v>0.01642361111111111</v>
      </c>
      <c r="AB4" s="89">
        <f>Y4+AA4</f>
        <v>0.08961805555555556</v>
      </c>
      <c r="AC4" s="87" t="str">
        <f>'Stage  Entry'!W12</f>
        <v>Stephen Paine</v>
      </c>
      <c r="AD4" s="88">
        <f>'Stage  Entry'!X12</f>
        <v>0.00912037037037037</v>
      </c>
      <c r="AE4" s="89">
        <f>AB4+AD4</f>
        <v>0.09873842592592594</v>
      </c>
      <c r="AF4" s="87" t="str">
        <f>'Stage  Entry'!AB12</f>
        <v>Luke Gray</v>
      </c>
      <c r="AG4" s="88">
        <f>'Stage  Entry'!AC12</f>
        <v>0.010891203703703703</v>
      </c>
      <c r="AH4" s="89">
        <f>AE4+AG4</f>
        <v>0.10962962962962965</v>
      </c>
      <c r="AI4" s="87" t="str">
        <f>'Stage  Entry'!AG12</f>
        <v>Anthony Mithen</v>
      </c>
      <c r="AJ4" s="88">
        <f>'Stage  Entry'!AH12</f>
        <v>0.009305555555555555</v>
      </c>
      <c r="AK4" s="89">
        <f>AH4+AJ4</f>
        <v>0.1189351851851852</v>
      </c>
      <c r="AL4" s="87" t="str">
        <f>'Stage  Entry'!AL12</f>
        <v>Stephen Paine</v>
      </c>
      <c r="AM4" s="88">
        <f>'Stage  Entry'!AM12</f>
        <v>0.00980324074074074</v>
      </c>
      <c r="AN4" s="89">
        <f>AK4+AM4</f>
        <v>0.12873842592592594</v>
      </c>
      <c r="AO4" s="87" t="str">
        <f>'Stage  Entry'!AQ12</f>
        <v>Luke Gray</v>
      </c>
      <c r="AP4" s="88">
        <f>'Stage  Entry'!AR12</f>
        <v>0.01136574074074074</v>
      </c>
      <c r="AQ4" s="89">
        <f>AN4+AP4</f>
        <v>0.14010416666666667</v>
      </c>
      <c r="AR4" s="87" t="str">
        <f>'Stage  Entry'!AV12</f>
        <v>Dale Nardella</v>
      </c>
      <c r="AS4" s="88">
        <f>'Stage  Entry'!AW12</f>
        <v>0.010138888888888888</v>
      </c>
      <c r="AT4" s="89">
        <f>AQ4+AS4</f>
        <v>0.15024305555555556</v>
      </c>
      <c r="AU4" s="87">
        <f>+'Stage  Entry'!BB12</f>
        <v>0</v>
      </c>
      <c r="AV4" s="88">
        <f>+'Stage  Entry'!BC12</f>
        <v>0</v>
      </c>
      <c r="AW4" s="89">
        <f>AT4+AV4</f>
        <v>0.15024305555555556</v>
      </c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</row>
    <row r="5" spans="1:66" s="38" customFormat="1" ht="19.5" customHeight="1">
      <c r="A5" s="86" t="str">
        <f>'Team Selection'!B4</f>
        <v>Never A Chance</v>
      </c>
      <c r="B5" s="87" t="str">
        <f>'Stage  Entry'!R5</f>
        <v>Patrick O'Keefe &amp; Shane Fielding</v>
      </c>
      <c r="C5" s="88">
        <f>'Stage  Entry'!S5</f>
        <v>0.014837962962962964</v>
      </c>
      <c r="D5" s="89">
        <f>C5</f>
        <v>0.014837962962962964</v>
      </c>
      <c r="E5" s="87" t="str">
        <f>'Stage  Entry'!W5</f>
        <v>Gary O'Dwyer</v>
      </c>
      <c r="F5" s="88">
        <f>'Stage  Entry'!X5</f>
        <v>0.011006944444444444</v>
      </c>
      <c r="G5" s="89">
        <f>D5+F5</f>
        <v>0.025844907407407407</v>
      </c>
      <c r="H5" s="87" t="str">
        <f>'Stage  Entry'!AB5</f>
        <v>Scott Lawrence</v>
      </c>
      <c r="I5" s="88">
        <f>'Stage  Entry'!AC5</f>
        <v>0.010335648148148148</v>
      </c>
      <c r="J5" s="89">
        <f>G5+I5</f>
        <v>0.036180555555555556</v>
      </c>
      <c r="K5" s="87" t="str">
        <f>'Stage  Entry'!AG5</f>
        <v>Shane Fielding</v>
      </c>
      <c r="L5" s="88">
        <f>'Stage  Entry'!AH5</f>
        <v>0.010347222222222223</v>
      </c>
      <c r="M5" s="89">
        <f>J5+L5</f>
        <v>0.04652777777777778</v>
      </c>
      <c r="N5" s="87" t="str">
        <f>'Stage  Entry'!AL5</f>
        <v>Sub</v>
      </c>
      <c r="O5" s="88">
        <f>'Stage  Entry'!AM5</f>
        <v>0.010138888888888888</v>
      </c>
      <c r="P5" s="89">
        <f>M5+O5</f>
        <v>0.05666666666666667</v>
      </c>
      <c r="Q5" s="87" t="str">
        <f>'Stage  Entry'!AQ5</f>
        <v>Gary O'Dwyer</v>
      </c>
      <c r="R5" s="88">
        <f>'Stage  Entry'!AR5</f>
        <v>0.009907407407407408</v>
      </c>
      <c r="S5" s="89">
        <f>P5+R5</f>
        <v>0.06657407407407408</v>
      </c>
      <c r="T5" s="87" t="str">
        <f>'Stage  Entry'!AV5</f>
        <v>Scott Lawrence</v>
      </c>
      <c r="U5" s="88">
        <f>'Stage  Entry'!AW5</f>
        <v>0.008888888888888889</v>
      </c>
      <c r="V5" s="89">
        <f>S5+U5</f>
        <v>0.07546296296296297</v>
      </c>
      <c r="W5" s="87">
        <f>+'Stage  Entry'!BB5</f>
        <v>0</v>
      </c>
      <c r="X5" s="88">
        <f>+'Stage  Entry'!BC5</f>
        <v>0</v>
      </c>
      <c r="Y5" s="89">
        <f>V5+X5</f>
        <v>0.07546296296296297</v>
      </c>
      <c r="Z5" s="87" t="str">
        <f>'Stage  Entry'!R13</f>
        <v>Sub &amp; Sub</v>
      </c>
      <c r="AA5" s="88">
        <f>'Stage  Entry'!S13</f>
        <v>0.015856481481481482</v>
      </c>
      <c r="AB5" s="89">
        <f>Y5+AA5</f>
        <v>0.09131944444444445</v>
      </c>
      <c r="AC5" s="87" t="str">
        <f>'Stage  Entry'!W13</f>
        <v>Shane Fielding</v>
      </c>
      <c r="AD5" s="88">
        <f>'Stage  Entry'!X13</f>
        <v>0.010266203703703703</v>
      </c>
      <c r="AE5" s="89">
        <f>AB5+AD5</f>
        <v>0.10158564814814816</v>
      </c>
      <c r="AF5" s="87" t="str">
        <f>'Stage  Entry'!AB13</f>
        <v>Gary O'Dwyer</v>
      </c>
      <c r="AG5" s="88">
        <f>'Stage  Entry'!AC13</f>
        <v>0.013125</v>
      </c>
      <c r="AH5" s="89">
        <f>AE5+AG5</f>
        <v>0.11471064814814816</v>
      </c>
      <c r="AI5" s="87" t="str">
        <f>'Stage  Entry'!AG13</f>
        <v>Scott Lawrence</v>
      </c>
      <c r="AJ5" s="88">
        <f>'Stage  Entry'!AH13</f>
        <v>0.009305555555555555</v>
      </c>
      <c r="AK5" s="89">
        <f>AH5+AJ5</f>
        <v>0.12401620370370371</v>
      </c>
      <c r="AL5" s="87" t="str">
        <f>'Stage  Entry'!AL13</f>
        <v>Shane Fielding</v>
      </c>
      <c r="AM5" s="88">
        <f>'Stage  Entry'!AM13</f>
        <v>0.011041666666666667</v>
      </c>
      <c r="AN5" s="89">
        <f>AK5+AM5</f>
        <v>0.13505787037037037</v>
      </c>
      <c r="AO5" s="87" t="str">
        <f>'Stage  Entry'!AQ13</f>
        <v>Scott Lawrence</v>
      </c>
      <c r="AP5" s="88">
        <f>'Stage  Entry'!AR13</f>
        <v>0.012118055555555556</v>
      </c>
      <c r="AQ5" s="89">
        <f>AN5+AP5</f>
        <v>0.14717592592592593</v>
      </c>
      <c r="AR5" s="87" t="str">
        <f>'Stage  Entry'!AV13</f>
        <v>Gary O'Dwyer</v>
      </c>
      <c r="AS5" s="88">
        <f>'Stage  Entry'!AW13</f>
        <v>0.010983796296296297</v>
      </c>
      <c r="AT5" s="89">
        <f>AQ5+AS5</f>
        <v>0.15815972222222224</v>
      </c>
      <c r="AU5" s="87">
        <f>+'Stage  Entry'!BB13</f>
        <v>0</v>
      </c>
      <c r="AV5" s="88">
        <f>+'Stage  Entry'!BC13</f>
        <v>0</v>
      </c>
      <c r="AW5" s="89">
        <f>AT5+AV5</f>
        <v>0.15815972222222224</v>
      </c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</row>
    <row r="6" spans="1:66" s="38" customFormat="1" ht="19.5" customHeight="1">
      <c r="A6" s="86" t="str">
        <f>'Team Selection'!B5</f>
        <v>Yeats Mates</v>
      </c>
      <c r="B6" s="87" t="str">
        <f>'Stage  Entry'!R6</f>
        <v>Luke Yeatman &amp; Richard Does</v>
      </c>
      <c r="C6" s="88">
        <f>'Stage  Entry'!S6</f>
        <v>0.01439814814814815</v>
      </c>
      <c r="D6" s="89">
        <f>C6</f>
        <v>0.01439814814814815</v>
      </c>
      <c r="E6" s="87" t="str">
        <f>'Stage  Entry'!W6</f>
        <v>Craig Harris</v>
      </c>
      <c r="F6" s="88">
        <f>'Stage  Entry'!X6</f>
        <v>0.009780092592592592</v>
      </c>
      <c r="G6" s="89">
        <f>D6+F6</f>
        <v>0.024178240740740743</v>
      </c>
      <c r="H6" s="87" t="str">
        <f>'Stage  Entry'!AB6</f>
        <v>Mike Bialczak</v>
      </c>
      <c r="I6" s="88">
        <f>'Stage  Entry'!AC6</f>
        <v>0.009768518518518518</v>
      </c>
      <c r="J6" s="89">
        <f>G6+I6</f>
        <v>0.03394675925925926</v>
      </c>
      <c r="K6" s="87" t="str">
        <f>'Stage  Entry'!AG6</f>
        <v>Richard Does</v>
      </c>
      <c r="L6" s="88">
        <f>'Stage  Entry'!AH6</f>
        <v>0.009733796296296298</v>
      </c>
      <c r="M6" s="89">
        <f>J6+L6</f>
        <v>0.043680555555555556</v>
      </c>
      <c r="N6" s="87" t="str">
        <f>'Stage  Entry'!AL6</f>
        <v>Luke Yeatman</v>
      </c>
      <c r="O6" s="88">
        <f>'Stage  Entry'!AM6</f>
        <v>0.01025462962962963</v>
      </c>
      <c r="P6" s="89">
        <f>M6+O6</f>
        <v>0.05393518518518518</v>
      </c>
      <c r="Q6" s="87" t="str">
        <f>'Stage  Entry'!AQ6</f>
        <v>Craig Harris</v>
      </c>
      <c r="R6" s="88">
        <f>'Stage  Entry'!AR6</f>
        <v>0.008865740740740742</v>
      </c>
      <c r="S6" s="89">
        <f>P6+R6</f>
        <v>0.06280092592592593</v>
      </c>
      <c r="T6" s="87" t="str">
        <f>'Stage  Entry'!AV6</f>
        <v>Mike Bialczak</v>
      </c>
      <c r="U6" s="88">
        <f>'Stage  Entry'!AW6</f>
        <v>0.008773148148148148</v>
      </c>
      <c r="V6" s="89">
        <f>S6+U6</f>
        <v>0.07157407407407407</v>
      </c>
      <c r="W6" s="87" t="str">
        <f>+'Stage  Entry'!BB6</f>
        <v>Missed Changeover 5 to 6</v>
      </c>
      <c r="X6" s="88">
        <f>+'Stage  Entry'!BC6</f>
        <v>0.0010532407407407407</v>
      </c>
      <c r="Y6" s="89">
        <f>V6+X6</f>
        <v>0.07262731481481481</v>
      </c>
      <c r="Z6" s="87" t="str">
        <f>'Stage  Entry'!R14</f>
        <v>Mike Bialczak &amp; Craig Harris</v>
      </c>
      <c r="AA6" s="88">
        <f>'Stage  Entry'!S14</f>
        <v>0.01634259259259259</v>
      </c>
      <c r="AB6" s="89">
        <f>Y6+AA6</f>
        <v>0.0889699074074074</v>
      </c>
      <c r="AC6" s="87" t="str">
        <f>'Stage  Entry'!W14</f>
        <v>Richard Does</v>
      </c>
      <c r="AD6" s="88">
        <f>'Stage  Entry'!X14</f>
        <v>0.00986111111111111</v>
      </c>
      <c r="AE6" s="89">
        <f>AB6+AD6</f>
        <v>0.09883101851851851</v>
      </c>
      <c r="AF6" s="87" t="str">
        <f>'Stage  Entry'!AB14</f>
        <v>Luke Yeatman</v>
      </c>
      <c r="AG6" s="88">
        <f>'Stage  Entry'!AC14</f>
        <v>0.010289351851851852</v>
      </c>
      <c r="AH6" s="89">
        <f>AE6+AG6</f>
        <v>0.10912037037037037</v>
      </c>
      <c r="AI6" s="87" t="str">
        <f>'Stage  Entry'!AG14</f>
        <v>Mike Bialczak</v>
      </c>
      <c r="AJ6" s="88">
        <f>'Stage  Entry'!AH14</f>
        <v>0.009814814814814814</v>
      </c>
      <c r="AK6" s="89">
        <f>AH6+AJ6</f>
        <v>0.11893518518518519</v>
      </c>
      <c r="AL6" s="87" t="str">
        <f>'Stage  Entry'!AL14</f>
        <v>Richard Does</v>
      </c>
      <c r="AM6" s="88">
        <f>'Stage  Entry'!AM14</f>
        <v>0.010578703703703703</v>
      </c>
      <c r="AN6" s="89">
        <f>AK6+AM6</f>
        <v>0.1295138888888889</v>
      </c>
      <c r="AO6" s="87" t="str">
        <f>'Stage  Entry'!AQ14</f>
        <v>Luke Yeatman</v>
      </c>
      <c r="AP6" s="88">
        <f>'Stage  Entry'!AR14</f>
        <v>0.010659722222222221</v>
      </c>
      <c r="AQ6" s="89">
        <f>AN6+AP6</f>
        <v>0.14017361111111112</v>
      </c>
      <c r="AR6" s="87" t="str">
        <f>'Stage  Entry'!AV14</f>
        <v>Craig Harris</v>
      </c>
      <c r="AS6" s="88">
        <f>'Stage  Entry'!AW14</f>
        <v>0.00949074074074074</v>
      </c>
      <c r="AT6" s="89">
        <f>AQ6+AS6</f>
        <v>0.14966435185185187</v>
      </c>
      <c r="AU6" s="87">
        <f>+'Stage  Entry'!BB14</f>
        <v>0</v>
      </c>
      <c r="AV6" s="88">
        <f>+'Stage  Entry'!BC14</f>
        <v>0</v>
      </c>
      <c r="AW6" s="89">
        <f>AT6+AV6</f>
        <v>0.14966435185185187</v>
      </c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</row>
    <row r="7" spans="1:66" s="38" customFormat="1" ht="19.5" customHeight="1">
      <c r="A7" s="86" t="str">
        <f>'Team Selection'!B6</f>
        <v>Massive Tickers</v>
      </c>
      <c r="B7" s="87" t="str">
        <f>'Stage  Entry'!R7</f>
        <v>David Venour &amp; Troy Williams</v>
      </c>
      <c r="C7" s="88">
        <f>'Stage  Entry'!S7</f>
        <v>0.014166666666666668</v>
      </c>
      <c r="D7" s="89">
        <f>C7</f>
        <v>0.014166666666666668</v>
      </c>
      <c r="E7" s="87" t="str">
        <f>'Stage  Entry'!W7</f>
        <v>Matt Sandilands</v>
      </c>
      <c r="F7" s="88">
        <f>'Stage  Entry'!X7</f>
        <v>0.009293981481481481</v>
      </c>
      <c r="G7" s="89">
        <f>D7+F7</f>
        <v>0.023460648148148147</v>
      </c>
      <c r="H7" s="87" t="str">
        <f>'Stage  Entry'!AB7</f>
        <v>Paul Marsh</v>
      </c>
      <c r="I7" s="88">
        <f>'Stage  Entry'!AC7</f>
        <v>0.010358796296296295</v>
      </c>
      <c r="J7" s="89">
        <f>G7+I7</f>
        <v>0.033819444444444444</v>
      </c>
      <c r="K7" s="87" t="str">
        <f>'Stage  Entry'!AG7</f>
        <v>David Venour</v>
      </c>
      <c r="L7" s="88">
        <f>'Stage  Entry'!AH7</f>
        <v>0.009502314814814816</v>
      </c>
      <c r="M7" s="89">
        <f>J7+L7</f>
        <v>0.04332175925925926</v>
      </c>
      <c r="N7" s="87" t="str">
        <f>'Stage  Entry'!AL7</f>
        <v>Troy Williams</v>
      </c>
      <c r="O7" s="88">
        <f>'Stage  Entry'!AM7</f>
        <v>0.01019675925925926</v>
      </c>
      <c r="P7" s="89">
        <f>M7+O7</f>
        <v>0.05351851851851852</v>
      </c>
      <c r="Q7" s="87" t="str">
        <f>'Stage  Entry'!AQ7</f>
        <v>Matt Sandilands</v>
      </c>
      <c r="R7" s="88">
        <f>'Stage  Entry'!AR7</f>
        <v>0.008692129629629631</v>
      </c>
      <c r="S7" s="89">
        <f>P7+R7</f>
        <v>0.062210648148148154</v>
      </c>
      <c r="T7" s="87" t="str">
        <f>'Stage  Entry'!AV7</f>
        <v>Paul Marsh</v>
      </c>
      <c r="U7" s="88">
        <f>'Stage  Entry'!AW7</f>
        <v>0.009097222222222222</v>
      </c>
      <c r="V7" s="89">
        <f>S7+U7</f>
        <v>0.07130787037037037</v>
      </c>
      <c r="W7" s="87" t="str">
        <f>+'Stage  Entry'!BB7</f>
        <v>Missed Changeover 5 to 6</v>
      </c>
      <c r="X7" s="88">
        <f>+'Stage  Entry'!BC7</f>
        <v>0.0012384259259259258</v>
      </c>
      <c r="Y7" s="89">
        <f>V7+X7</f>
        <v>0.07254629629629629</v>
      </c>
      <c r="Z7" s="87" t="str">
        <f>'Stage  Entry'!R15</f>
        <v>Paul Marsh &amp; Matt Sandilands</v>
      </c>
      <c r="AA7" s="88">
        <f>'Stage  Entry'!S15</f>
        <v>0.015567129629629629</v>
      </c>
      <c r="AB7" s="89">
        <f>Y7+AA7</f>
        <v>0.08811342592592591</v>
      </c>
      <c r="AC7" s="87" t="str">
        <f>'Stage  Entry'!W15</f>
        <v>David Venour</v>
      </c>
      <c r="AD7" s="88">
        <f>'Stage  Entry'!X15</f>
        <v>0.009293981481481481</v>
      </c>
      <c r="AE7" s="89">
        <f>AB7+AD7</f>
        <v>0.0974074074074074</v>
      </c>
      <c r="AF7" s="87" t="str">
        <f>'Stage  Entry'!AB15</f>
        <v>Troy Williams</v>
      </c>
      <c r="AG7" s="88">
        <f>'Stage  Entry'!AC15</f>
        <v>0.010127314814814815</v>
      </c>
      <c r="AH7" s="89">
        <f>AE7+AG7</f>
        <v>0.10753472222222221</v>
      </c>
      <c r="AI7" s="87" t="str">
        <f>'Stage  Entry'!AG15</f>
        <v>Paul Marsh</v>
      </c>
      <c r="AJ7" s="88">
        <f>'Stage  Entry'!AH15</f>
        <v>0.009641203703703704</v>
      </c>
      <c r="AK7" s="89">
        <f>AH7+AJ7</f>
        <v>0.11717592592592592</v>
      </c>
      <c r="AL7" s="87" t="str">
        <f>'Stage  Entry'!AL15</f>
        <v>David Venour</v>
      </c>
      <c r="AM7" s="88">
        <f>'Stage  Entry'!AM15</f>
        <v>0.010162037037037037</v>
      </c>
      <c r="AN7" s="89">
        <f>AK7+AM7</f>
        <v>0.12733796296296296</v>
      </c>
      <c r="AO7" s="87" t="str">
        <f>'Stage  Entry'!AQ15</f>
        <v>Troy Williams</v>
      </c>
      <c r="AP7" s="88">
        <f>'Stage  Entry'!AR15</f>
        <v>0.010462962962962964</v>
      </c>
      <c r="AQ7" s="89">
        <f>AN7+AP7</f>
        <v>0.1378009259259259</v>
      </c>
      <c r="AR7" s="87" t="str">
        <f>'Stage  Entry'!AV15</f>
        <v>Matt Sandilands</v>
      </c>
      <c r="AS7" s="88">
        <f>'Stage  Entry'!AW15</f>
        <v>0.009039351851851852</v>
      </c>
      <c r="AT7" s="89">
        <f>AQ7+AS7</f>
        <v>0.14684027777777775</v>
      </c>
      <c r="AU7" s="87">
        <f>+'Stage  Entry'!BB15</f>
        <v>0</v>
      </c>
      <c r="AV7" s="88">
        <f>+'Stage  Entry'!BC15</f>
        <v>0</v>
      </c>
      <c r="AW7" s="89">
        <f>AT7+AV7</f>
        <v>0.14684027777777775</v>
      </c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</row>
    <row r="8" spans="1:66" s="38" customFormat="1" ht="19.5" customHeight="1">
      <c r="A8" s="86" t="str">
        <f>'Team Selection'!B7</f>
        <v>Wesfarmers Whippets</v>
      </c>
      <c r="B8" s="87" t="str">
        <f>'Stage  Entry'!R8</f>
        <v>Andrew Coles &amp; Colin Thornton</v>
      </c>
      <c r="C8" s="88">
        <f>'Stage  Entry'!S8</f>
        <v>0.014143518518518519</v>
      </c>
      <c r="D8" s="89">
        <f>C8</f>
        <v>0.014143518518518519</v>
      </c>
      <c r="E8" s="87" t="str">
        <f>'Stage  Entry'!W8</f>
        <v>Glenn Goodman</v>
      </c>
      <c r="F8" s="88">
        <f>'Stage  Entry'!X8</f>
        <v>0.009305555555555555</v>
      </c>
      <c r="G8" s="89">
        <f>D8+F8</f>
        <v>0.023449074074074074</v>
      </c>
      <c r="H8" s="87" t="str">
        <f>'Stage  Entry'!AB8</f>
        <v>Mark Purvis</v>
      </c>
      <c r="I8" s="88">
        <f>'Stage  Entry'!AC8</f>
        <v>0.010335648148148148</v>
      </c>
      <c r="J8" s="89">
        <f>G8+I8</f>
        <v>0.03378472222222222</v>
      </c>
      <c r="K8" s="87" t="str">
        <f>'Stage  Entry'!AG8</f>
        <v>Colin Thornton</v>
      </c>
      <c r="L8" s="88">
        <f>'Stage  Entry'!AH8</f>
        <v>0.009722222222222222</v>
      </c>
      <c r="M8" s="89">
        <f>J8+L8</f>
        <v>0.043506944444444445</v>
      </c>
      <c r="N8" s="87" t="str">
        <f>'Stage  Entry'!AL8</f>
        <v>Andrew Coles</v>
      </c>
      <c r="O8" s="88">
        <f>'Stage  Entry'!AM8</f>
        <v>0.010127314814814815</v>
      </c>
      <c r="P8" s="89">
        <f>M8+O8</f>
        <v>0.053634259259259257</v>
      </c>
      <c r="Q8" s="87" t="str">
        <f>'Stage  Entry'!AQ8</f>
        <v>Glenn Goodman</v>
      </c>
      <c r="R8" s="88">
        <f>'Stage  Entry'!AR8</f>
        <v>0.008518518518518519</v>
      </c>
      <c r="S8" s="89">
        <f>P8+R8</f>
        <v>0.06215277777777778</v>
      </c>
      <c r="T8" s="87" t="str">
        <f>'Stage  Entry'!AV8</f>
        <v>Mark Purvis</v>
      </c>
      <c r="U8" s="88">
        <f>'Stage  Entry'!AW8</f>
        <v>0.009351851851851853</v>
      </c>
      <c r="V8" s="89">
        <f>S8+U8</f>
        <v>0.07150462962962963</v>
      </c>
      <c r="W8" s="87">
        <f>+'Stage  Entry'!BB8</f>
        <v>0</v>
      </c>
      <c r="X8" s="88">
        <f>+'Stage  Entry'!BC8</f>
        <v>0</v>
      </c>
      <c r="Y8" s="89">
        <f>V8+X8</f>
        <v>0.07150462962962963</v>
      </c>
      <c r="Z8" s="87" t="str">
        <f>'Stage  Entry'!R16</f>
        <v>Mark Purvis &amp; Glenn Goodman</v>
      </c>
      <c r="AA8" s="88">
        <f>'Stage  Entry'!S16</f>
        <v>0.015243055555555555</v>
      </c>
      <c r="AB8" s="89">
        <f>Y8+AA8</f>
        <v>0.08674768518518518</v>
      </c>
      <c r="AC8" s="87" t="str">
        <f>'Stage  Entry'!W16</f>
        <v>Andrew Coles</v>
      </c>
      <c r="AD8" s="88">
        <f>'Stage  Entry'!X16</f>
        <v>0.009837962962962963</v>
      </c>
      <c r="AE8" s="89">
        <f>AB8+AD8</f>
        <v>0.09658564814814814</v>
      </c>
      <c r="AF8" s="87" t="str">
        <f>'Stage  Entry'!AB16</f>
        <v>Colin Thornton</v>
      </c>
      <c r="AG8" s="88">
        <f>'Stage  Entry'!AC16</f>
        <v>0.0103125</v>
      </c>
      <c r="AH8" s="89">
        <f>AE8+AG8</f>
        <v>0.10689814814814814</v>
      </c>
      <c r="AI8" s="87" t="str">
        <f>'Stage  Entry'!AG16</f>
        <v>Mark Purvis</v>
      </c>
      <c r="AJ8" s="88">
        <f>'Stage  Entry'!AH16</f>
        <v>0.009525462962962963</v>
      </c>
      <c r="AK8" s="89">
        <f>AH8+AJ8</f>
        <v>0.1164236111111111</v>
      </c>
      <c r="AL8" s="87" t="str">
        <f>'Stage  Entry'!AL16</f>
        <v>Andrew Coles</v>
      </c>
      <c r="AM8" s="88">
        <f>'Stage  Entry'!AM16</f>
        <v>0.010069444444444445</v>
      </c>
      <c r="AN8" s="89">
        <f>AK8+AM8</f>
        <v>0.12649305555555554</v>
      </c>
      <c r="AO8" s="87" t="str">
        <f>'Stage  Entry'!AQ16</f>
        <v>Colin Thornton</v>
      </c>
      <c r="AP8" s="88">
        <f>'Stage  Entry'!AR16</f>
        <v>0.01054398148148148</v>
      </c>
      <c r="AQ8" s="89">
        <f>AN8+AP8</f>
        <v>0.137037037037037</v>
      </c>
      <c r="AR8" s="87" t="str">
        <f>'Stage  Entry'!AV16</f>
        <v>Glenn Goodman</v>
      </c>
      <c r="AS8" s="88">
        <f>'Stage  Entry'!AW16</f>
        <v>0.008900462962962962</v>
      </c>
      <c r="AT8" s="89">
        <f>AQ8+AS8</f>
        <v>0.14593749999999997</v>
      </c>
      <c r="AU8" s="87">
        <f>+'Stage  Entry'!BB16</f>
        <v>0</v>
      </c>
      <c r="AV8" s="88">
        <f>+'Stage  Entry'!BC16</f>
        <v>0</v>
      </c>
      <c r="AW8" s="89">
        <f>AT8+AV8</f>
        <v>0.14593749999999997</v>
      </c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</row>
    <row r="10" spans="2:67" s="103" customFormat="1" ht="12.75">
      <c r="B10" s="104"/>
      <c r="C10" s="105" t="s">
        <v>43</v>
      </c>
      <c r="D10" s="106" t="s">
        <v>42</v>
      </c>
      <c r="E10" s="104"/>
      <c r="F10" s="105" t="s">
        <v>43</v>
      </c>
      <c r="G10" s="106" t="s">
        <v>42</v>
      </c>
      <c r="H10" s="104"/>
      <c r="I10" s="105" t="s">
        <v>43</v>
      </c>
      <c r="J10" s="106" t="s">
        <v>42</v>
      </c>
      <c r="K10" s="104"/>
      <c r="L10" s="105" t="s">
        <v>43</v>
      </c>
      <c r="M10" s="106" t="s">
        <v>42</v>
      </c>
      <c r="N10" s="104"/>
      <c r="O10" s="105" t="s">
        <v>43</v>
      </c>
      <c r="P10" s="106" t="s">
        <v>42</v>
      </c>
      <c r="Q10" s="104"/>
      <c r="R10" s="105" t="s">
        <v>43</v>
      </c>
      <c r="S10" s="106" t="s">
        <v>42</v>
      </c>
      <c r="T10" s="104"/>
      <c r="U10" s="105" t="s">
        <v>43</v>
      </c>
      <c r="V10" s="106" t="s">
        <v>42</v>
      </c>
      <c r="W10" s="36"/>
      <c r="X10" s="105" t="s">
        <v>43</v>
      </c>
      <c r="Y10" s="106" t="s">
        <v>42</v>
      </c>
      <c r="Z10" s="104"/>
      <c r="AA10" s="105" t="s">
        <v>43</v>
      </c>
      <c r="AB10" s="106" t="s">
        <v>42</v>
      </c>
      <c r="AC10" s="104"/>
      <c r="AD10" s="105" t="s">
        <v>43</v>
      </c>
      <c r="AE10" s="106" t="s">
        <v>42</v>
      </c>
      <c r="AF10" s="104"/>
      <c r="AG10" s="105" t="s">
        <v>43</v>
      </c>
      <c r="AH10" s="106" t="s">
        <v>42</v>
      </c>
      <c r="AI10" s="104"/>
      <c r="AJ10" s="105" t="s">
        <v>43</v>
      </c>
      <c r="AK10" s="106" t="s">
        <v>42</v>
      </c>
      <c r="AL10" s="104"/>
      <c r="AM10" s="105" t="s">
        <v>43</v>
      </c>
      <c r="AN10" s="106" t="s">
        <v>42</v>
      </c>
      <c r="AO10" s="104"/>
      <c r="AP10" s="105" t="s">
        <v>43</v>
      </c>
      <c r="AQ10" s="106" t="s">
        <v>42</v>
      </c>
      <c r="AR10" s="104"/>
      <c r="AS10" s="105" t="s">
        <v>43</v>
      </c>
      <c r="AT10" s="106" t="s">
        <v>42</v>
      </c>
      <c r="AU10" s="36"/>
      <c r="AV10" s="105" t="s">
        <v>43</v>
      </c>
      <c r="AW10" s="106" t="s">
        <v>42</v>
      </c>
      <c r="AX10" s="109"/>
      <c r="AY10" s="110" t="s">
        <v>0</v>
      </c>
      <c r="AZ10" s="111">
        <v>1</v>
      </c>
      <c r="BA10" s="111">
        <v>2</v>
      </c>
      <c r="BB10" s="111">
        <v>3</v>
      </c>
      <c r="BC10" s="111">
        <v>4</v>
      </c>
      <c r="BD10" s="111">
        <v>5</v>
      </c>
      <c r="BE10" s="111">
        <v>6</v>
      </c>
      <c r="BF10" s="111">
        <v>7</v>
      </c>
      <c r="BG10" s="111" t="s">
        <v>88</v>
      </c>
      <c r="BH10" s="111">
        <v>8</v>
      </c>
      <c r="BI10" s="111">
        <v>9</v>
      </c>
      <c r="BJ10" s="111">
        <v>10</v>
      </c>
      <c r="BK10" s="111">
        <v>11</v>
      </c>
      <c r="BL10" s="111">
        <v>12</v>
      </c>
      <c r="BM10" s="111">
        <v>13</v>
      </c>
      <c r="BN10" s="111">
        <v>14</v>
      </c>
      <c r="BO10" s="111" t="s">
        <v>88</v>
      </c>
    </row>
    <row r="11" spans="3:67" ht="12.75">
      <c r="C11" s="101">
        <f>RANK(D4,D$4:D$8,1)</f>
        <v>3</v>
      </c>
      <c r="D11" s="102">
        <f>D4-MIN(D$4,D$5,D$6,D$7,D$8)</f>
        <v>3.4722222222222446E-05</v>
      </c>
      <c r="F11" s="101">
        <f>RANK(G4,G$4:G$8,1)</f>
        <v>4</v>
      </c>
      <c r="G11" s="102">
        <f>G4-MIN(G$4,G$5,G$6,G$7,G$8)</f>
        <v>0.0011689814814814792</v>
      </c>
      <c r="I11" s="101">
        <f>RANK(J4,J$4:J$8,1)</f>
        <v>4</v>
      </c>
      <c r="J11" s="102">
        <f>J4-MIN(J$4,J$5,J$6,J$7,J$8)</f>
        <v>0.0007870370370370375</v>
      </c>
      <c r="L11" s="101">
        <f>RANK(M4,M$4:M$8,1)</f>
        <v>4</v>
      </c>
      <c r="M11" s="102">
        <f>M4-MIN(M$4,M$5,M$6,M$7,M$8)</f>
        <v>0.0016203703703703692</v>
      </c>
      <c r="O11" s="101">
        <f>RANK(P4,P$4:P$8,1)</f>
        <v>4</v>
      </c>
      <c r="P11" s="102">
        <f>P4-MIN(P$4,P$5,P$6,P$7,P$8)</f>
        <v>0.0014004629629629645</v>
      </c>
      <c r="R11" s="101">
        <f>RANK(S4,S$4:S$8,1)</f>
        <v>4</v>
      </c>
      <c r="S11" s="102">
        <f>S4-MIN(S$4,S$5,S$6,S$7,S$8)</f>
        <v>0.0022800925925925974</v>
      </c>
      <c r="U11" s="101">
        <f>RANK(V4,V$4:V$8,1)</f>
        <v>4</v>
      </c>
      <c r="V11" s="102">
        <f>V4-MIN(V$4,V$5,V$6,V$7,V$8)</f>
        <v>0.0018865740740740822</v>
      </c>
      <c r="X11" s="101">
        <f>RANK(Y4,Y$4:Y$8,1)</f>
        <v>4</v>
      </c>
      <c r="Y11" s="102">
        <f>Y4-MIN(Y$4,Y$5,Y$6,Y$7,Y$8)</f>
        <v>0.0016898148148148245</v>
      </c>
      <c r="AA11" s="101">
        <f>RANK(AB4,AB$4:AB$8,1)</f>
        <v>4</v>
      </c>
      <c r="AB11" s="102">
        <f>AB4-MIN(AB$4,AB$5,AB$6,AB$7,AB$8)</f>
        <v>0.0028703703703703842</v>
      </c>
      <c r="AD11" s="101">
        <f>RANK(AE4,AE$4:AE$8,1)</f>
        <v>3</v>
      </c>
      <c r="AE11" s="102">
        <f>AE4-MIN(AE$4,AE$5,AE$6,AE$7,AE$8)</f>
        <v>0.002152777777777795</v>
      </c>
      <c r="AG11" s="101">
        <f>RANK(AH4,AH$4:AH$8,1)</f>
        <v>4</v>
      </c>
      <c r="AH11" s="102">
        <f>AH4-MIN(AH$4,AH$5,AH$6,AH$7,AH$8)</f>
        <v>0.0027314814814815014</v>
      </c>
      <c r="AJ11" s="101">
        <f>RANK(AK4,AK$4:AK$8,1)</f>
        <v>4</v>
      </c>
      <c r="AK11" s="102">
        <f>AK4-MIN(AK$4,AK$5,AK$6,AK$7,AK$8)</f>
        <v>0.0025115740740740966</v>
      </c>
      <c r="AM11" s="101">
        <f>RANK(AN4,AN$4:AN$8,1)</f>
        <v>3</v>
      </c>
      <c r="AN11" s="102">
        <f>AN4-MIN(AN$4,AN$5,AN$6,AN$7,AN$8)</f>
        <v>0.0022453703703703976</v>
      </c>
      <c r="AP11" s="101">
        <f>RANK(AQ4,AQ$4:AQ$8,1)</f>
        <v>3</v>
      </c>
      <c r="AQ11" s="102">
        <f>AQ4-MIN(AQ$4,AQ$5,AQ$6,AQ$7,AQ$8)</f>
        <v>0.0030671296296296557</v>
      </c>
      <c r="AS11" s="101">
        <f>RANK(AT4,AT$4:AT$8,1)</f>
        <v>4</v>
      </c>
      <c r="AT11" s="102">
        <f>AT4-MIN(AT$4,AT$5,AT$6,AT$7,AT$8)</f>
        <v>0.00430555555555559</v>
      </c>
      <c r="AV11" s="101">
        <f>RANK(AW4,AW$4:AW$8,1)</f>
        <v>4</v>
      </c>
      <c r="AW11" s="102">
        <f>AW4-MIN(AW$4,AW$5,AW$6,AW$7,AW$8)</f>
        <v>0.00430555555555559</v>
      </c>
      <c r="AX11" s="112"/>
      <c r="AY11" s="113" t="str">
        <f>A4</f>
        <v>The Bradburys</v>
      </c>
      <c r="AZ11" s="114">
        <f>D11</f>
        <v>3.4722222222222446E-05</v>
      </c>
      <c r="BA11" s="114">
        <f>G11</f>
        <v>0.0011689814814814792</v>
      </c>
      <c r="BB11" s="114">
        <f>J11</f>
        <v>0.0007870370370370375</v>
      </c>
      <c r="BC11" s="114">
        <f>M11</f>
        <v>0.0016203703703703692</v>
      </c>
      <c r="BD11" s="114">
        <f>P11</f>
        <v>0.0014004629629629645</v>
      </c>
      <c r="BE11" s="114">
        <f>S11</f>
        <v>0.0022800925925925974</v>
      </c>
      <c r="BF11" s="114">
        <f>V11</f>
        <v>0.0018865740740740822</v>
      </c>
      <c r="BG11" s="114">
        <f>+Y11</f>
        <v>0.0016898148148148245</v>
      </c>
      <c r="BH11" s="114">
        <f>AB11</f>
        <v>0.0028703703703703842</v>
      </c>
      <c r="BI11" s="114">
        <f>AE11</f>
        <v>0.002152777777777795</v>
      </c>
      <c r="BJ11" s="114">
        <f>AH11</f>
        <v>0.0027314814814815014</v>
      </c>
      <c r="BK11" s="114">
        <f>AK11</f>
        <v>0.0025115740740740966</v>
      </c>
      <c r="BL11" s="114">
        <f>AN11</f>
        <v>0.0022453703703703976</v>
      </c>
      <c r="BM11" s="114">
        <f>AQ11</f>
        <v>0.0030671296296296557</v>
      </c>
      <c r="BN11" s="114">
        <f>AT11</f>
        <v>0.00430555555555559</v>
      </c>
      <c r="BO11" s="114">
        <f>+AW11</f>
        <v>0.00430555555555559</v>
      </c>
    </row>
    <row r="12" spans="3:67" ht="12.75">
      <c r="C12" s="101">
        <f>RANK(D5,D$4:D$8,1)</f>
        <v>5</v>
      </c>
      <c r="D12" s="102">
        <f>D5-MIN(D$4,D$5,D$6,D$7,D$8)</f>
        <v>0.0006944444444444454</v>
      </c>
      <c r="F12" s="101">
        <f>RANK(G5,G$4:G$8,1)</f>
        <v>5</v>
      </c>
      <c r="G12" s="102">
        <f>G5-MIN(G$4,G$5,G$6,G$7,G$8)</f>
        <v>0.002395833333333333</v>
      </c>
      <c r="I12" s="101">
        <f>RANK(J5,J$4:J$8,1)</f>
        <v>5</v>
      </c>
      <c r="J12" s="102">
        <f>J5-MIN(J$4,J$5,J$6,J$7,J$8)</f>
        <v>0.002395833333333333</v>
      </c>
      <c r="L12" s="101">
        <f>RANK(M5,M$4:M$8,1)</f>
        <v>5</v>
      </c>
      <c r="M12" s="102">
        <f>M5-MIN(M$4,M$5,M$6,M$7,M$8)</f>
        <v>0.0032060185185185178</v>
      </c>
      <c r="O12" s="101">
        <f>RANK(P5,P$4:P$8,1)</f>
        <v>5</v>
      </c>
      <c r="P12" s="102">
        <f>P5-MIN(P$4,P$5,P$6,P$7,P$8)</f>
        <v>0.00314814814814815</v>
      </c>
      <c r="R12" s="101">
        <f>RANK(S5,S$4:S$8,1)</f>
        <v>5</v>
      </c>
      <c r="S12" s="102">
        <f>S5-MIN(S$4,S$5,S$6,S$7,S$8)</f>
        <v>0.004421296296296298</v>
      </c>
      <c r="U12" s="101">
        <f>RANK(V5,V$4:V$8,1)</f>
        <v>5</v>
      </c>
      <c r="V12" s="102">
        <f>V5-MIN(V$4,V$5,V$6,V$7,V$8)</f>
        <v>0.004155092592592599</v>
      </c>
      <c r="X12" s="101">
        <f>RANK(Y5,Y$4:Y$8,1)</f>
        <v>5</v>
      </c>
      <c r="Y12" s="102">
        <f>Y5-MIN(Y$4,Y$5,Y$6,Y$7,Y$8)</f>
        <v>0.0039583333333333415</v>
      </c>
      <c r="AA12" s="101">
        <f>RANK(AB5,AB$4:AB$8,1)</f>
        <v>5</v>
      </c>
      <c r="AB12" s="102">
        <f>AB5-MIN(AB$4,AB$5,AB$6,AB$7,AB$8)</f>
        <v>0.004571759259259275</v>
      </c>
      <c r="AD12" s="101">
        <f>RANK(AE5,AE$4:AE$8,1)</f>
        <v>5</v>
      </c>
      <c r="AE12" s="102">
        <f>AE5-MIN(AE$4,AE$5,AE$6,AE$7,AE$8)</f>
        <v>0.005000000000000018</v>
      </c>
      <c r="AG12" s="101">
        <f>RANK(AH5,AH$4:AH$8,1)</f>
        <v>5</v>
      </c>
      <c r="AH12" s="102">
        <f>AH5-MIN(AH$4,AH$5,AH$6,AH$7,AH$8)</f>
        <v>0.007812500000000014</v>
      </c>
      <c r="AJ12" s="101">
        <f>RANK(AK5,AK$4:AK$8,1)</f>
        <v>5</v>
      </c>
      <c r="AK12" s="102">
        <f>AK5-MIN(AK$4,AK$5,AK$6,AK$7,AK$8)</f>
        <v>0.007592592592592609</v>
      </c>
      <c r="AM12" s="101">
        <f>RANK(AN5,AN$4:AN$8,1)</f>
        <v>5</v>
      </c>
      <c r="AN12" s="102">
        <f>AN5-MIN(AN$4,AN$5,AN$6,AN$7,AN$8)</f>
        <v>0.00856481481481483</v>
      </c>
      <c r="AP12" s="101">
        <f>RANK(AQ5,AQ$4:AQ$8,1)</f>
        <v>5</v>
      </c>
      <c r="AQ12" s="102">
        <f>AQ5-MIN(AQ$4,AQ$5,AQ$6,AQ$7,AQ$8)</f>
        <v>0.01013888888888892</v>
      </c>
      <c r="AS12" s="101">
        <f>RANK(AT5,AT$4:AT$8,1)</f>
        <v>5</v>
      </c>
      <c r="AT12" s="102">
        <f>AT5-MIN(AT$4,AT$5,AT$6,AT$7,AT$8)</f>
        <v>0.012222222222222273</v>
      </c>
      <c r="AV12" s="101">
        <f>RANK(AW5,AW$4:AW$8,1)</f>
        <v>5</v>
      </c>
      <c r="AW12" s="102">
        <f>AW5-MIN(AW$4,AW$5,AW$6,AW$7,AW$8)</f>
        <v>0.012222222222222273</v>
      </c>
      <c r="AX12" s="112"/>
      <c r="AY12" s="113" t="str">
        <f>A5</f>
        <v>Never A Chance</v>
      </c>
      <c r="AZ12" s="114">
        <f>D12</f>
        <v>0.0006944444444444454</v>
      </c>
      <c r="BA12" s="114">
        <f>G12</f>
        <v>0.002395833333333333</v>
      </c>
      <c r="BB12" s="114">
        <f>J12</f>
        <v>0.002395833333333333</v>
      </c>
      <c r="BC12" s="114">
        <f>M12</f>
        <v>0.0032060185185185178</v>
      </c>
      <c r="BD12" s="114">
        <f>P12</f>
        <v>0.00314814814814815</v>
      </c>
      <c r="BE12" s="114">
        <f>S12</f>
        <v>0.004421296296296298</v>
      </c>
      <c r="BF12" s="114">
        <f>V12</f>
        <v>0.004155092592592599</v>
      </c>
      <c r="BG12" s="114">
        <f>+Y12</f>
        <v>0.0039583333333333415</v>
      </c>
      <c r="BH12" s="114">
        <f>AB12</f>
        <v>0.004571759259259275</v>
      </c>
      <c r="BI12" s="114">
        <f>AE12</f>
        <v>0.005000000000000018</v>
      </c>
      <c r="BJ12" s="114">
        <f>AH12</f>
        <v>0.007812500000000014</v>
      </c>
      <c r="BK12" s="114">
        <f>AK12</f>
        <v>0.007592592592592609</v>
      </c>
      <c r="BL12" s="114">
        <f>AN12</f>
        <v>0.00856481481481483</v>
      </c>
      <c r="BM12" s="114">
        <f>AQ12</f>
        <v>0.01013888888888892</v>
      </c>
      <c r="BN12" s="114">
        <f>AT12</f>
        <v>0.012222222222222273</v>
      </c>
      <c r="BO12" s="114">
        <f>+AW12</f>
        <v>0.012222222222222273</v>
      </c>
    </row>
    <row r="13" spans="3:67" ht="12.75">
      <c r="C13" s="101">
        <f>RANK(D6,D$4:D$8,1)</f>
        <v>4</v>
      </c>
      <c r="D13" s="102">
        <f>D6-MIN(D$4,D$5,D$6,D$7,D$8)</f>
        <v>0.0002546296296296307</v>
      </c>
      <c r="F13" s="101">
        <f>RANK(G6,G$4:G$8,1)</f>
        <v>3</v>
      </c>
      <c r="G13" s="102">
        <f>G6-MIN(G$4,G$5,G$6,G$7,G$8)</f>
        <v>0.0007291666666666696</v>
      </c>
      <c r="I13" s="101">
        <f>RANK(J6,J$4:J$8,1)</f>
        <v>3</v>
      </c>
      <c r="J13" s="102">
        <f>J6-MIN(J$4,J$5,J$6,J$7,J$8)</f>
        <v>0.00016203703703703692</v>
      </c>
      <c r="L13" s="101">
        <f>RANK(M6,M$4:M$8,1)</f>
        <v>3</v>
      </c>
      <c r="M13" s="102">
        <f>M6-MIN(M$4,M$5,M$6,M$7,M$8)</f>
        <v>0.00035879629629629456</v>
      </c>
      <c r="O13" s="101">
        <f>RANK(P6,P$4:P$8,1)</f>
        <v>3</v>
      </c>
      <c r="P13" s="102">
        <f>P6-MIN(P$4,P$5,P$6,P$7,P$8)</f>
        <v>0.0004166666666666624</v>
      </c>
      <c r="R13" s="101">
        <f>RANK(S6,S$4:S$8,1)</f>
        <v>3</v>
      </c>
      <c r="S13" s="102">
        <f>S6-MIN(S$4,S$5,S$6,S$7,S$8)</f>
        <v>0.0006481481481481477</v>
      </c>
      <c r="U13" s="101">
        <f>RANK(V6,V$4:V$8,1)</f>
        <v>3</v>
      </c>
      <c r="V13" s="102">
        <f>V6-MIN(V$4,V$5,V$6,V$7,V$8)</f>
        <v>0.00026620370370369906</v>
      </c>
      <c r="X13" s="101">
        <f>RANK(Y6,Y$4:Y$8,1)</f>
        <v>3</v>
      </c>
      <c r="Y13" s="102">
        <f>Y6-MIN(Y$4,Y$5,Y$6,Y$7,Y$8)</f>
        <v>0.001122685185185185</v>
      </c>
      <c r="AA13" s="101">
        <f>RANK(AB6,AB$4:AB$8,1)</f>
        <v>3</v>
      </c>
      <c r="AB13" s="102">
        <f>AB6-MIN(AB$4,AB$5,AB$6,AB$7,AB$8)</f>
        <v>0.0022222222222222227</v>
      </c>
      <c r="AD13" s="101">
        <f>RANK(AE6,AE$4:AE$8,1)</f>
        <v>4</v>
      </c>
      <c r="AE13" s="102">
        <f>AE6-MIN(AE$4,AE$5,AE$6,AE$7,AE$8)</f>
        <v>0.00224537037037037</v>
      </c>
      <c r="AG13" s="101">
        <f>RANK(AH6,AH$4:AH$8,1)</f>
        <v>3</v>
      </c>
      <c r="AH13" s="102">
        <f>AH6-MIN(AH$4,AH$5,AH$6,AH$7,AH$8)</f>
        <v>0.0022222222222222227</v>
      </c>
      <c r="AJ13" s="101">
        <f>RANK(AK6,AK$4:AK$8,1)</f>
        <v>3</v>
      </c>
      <c r="AK13" s="102">
        <f>AK6-MIN(AK$4,AK$5,AK$6,AK$7,AK$8)</f>
        <v>0.0025115740740740827</v>
      </c>
      <c r="AM13" s="101">
        <f>RANK(AN6,AN$4:AN$8,1)</f>
        <v>4</v>
      </c>
      <c r="AN13" s="102">
        <f>AN6-MIN(AN$4,AN$5,AN$6,AN$7,AN$8)</f>
        <v>0.0030208333333333615</v>
      </c>
      <c r="AP13" s="101">
        <f>RANK(AQ6,AQ$4:AQ$8,1)</f>
        <v>4</v>
      </c>
      <c r="AQ13" s="102">
        <f>AQ6-MIN(AQ$4,AQ$5,AQ$6,AQ$7,AQ$8)</f>
        <v>0.003136574074074111</v>
      </c>
      <c r="AS13" s="101">
        <f>RANK(AT6,AT$4:AT$8,1)</f>
        <v>3</v>
      </c>
      <c r="AT13" s="102">
        <f>AT6-MIN(AT$4,AT$5,AT$6,AT$7,AT$8)</f>
        <v>0.003726851851851898</v>
      </c>
      <c r="AV13" s="101">
        <f>RANK(AW6,AW$4:AW$8,1)</f>
        <v>3</v>
      </c>
      <c r="AW13" s="102">
        <f>AW6-MIN(AW$4,AW$5,AW$6,AW$7,AW$8)</f>
        <v>0.003726851851851898</v>
      </c>
      <c r="AX13" s="112"/>
      <c r="AY13" s="113" t="str">
        <f>A6</f>
        <v>Yeats Mates</v>
      </c>
      <c r="AZ13" s="114">
        <f>D13</f>
        <v>0.0002546296296296307</v>
      </c>
      <c r="BA13" s="114">
        <f>G13</f>
        <v>0.0007291666666666696</v>
      </c>
      <c r="BB13" s="114">
        <f>J13</f>
        <v>0.00016203703703703692</v>
      </c>
      <c r="BC13" s="114">
        <f>M13</f>
        <v>0.00035879629629629456</v>
      </c>
      <c r="BD13" s="114">
        <f>P13</f>
        <v>0.0004166666666666624</v>
      </c>
      <c r="BE13" s="114">
        <f>S13</f>
        <v>0.0006481481481481477</v>
      </c>
      <c r="BF13" s="114">
        <f>V13</f>
        <v>0.00026620370370369906</v>
      </c>
      <c r="BG13" s="114">
        <f>+Y13</f>
        <v>0.001122685185185185</v>
      </c>
      <c r="BH13" s="114">
        <f>AB13</f>
        <v>0.0022222222222222227</v>
      </c>
      <c r="BI13" s="114">
        <f>AE13</f>
        <v>0.00224537037037037</v>
      </c>
      <c r="BJ13" s="114">
        <f>AH13</f>
        <v>0.0022222222222222227</v>
      </c>
      <c r="BK13" s="114">
        <f>AK13</f>
        <v>0.0025115740740740827</v>
      </c>
      <c r="BL13" s="114">
        <f>AN13</f>
        <v>0.0030208333333333615</v>
      </c>
      <c r="BM13" s="114">
        <f>AQ13</f>
        <v>0.003136574074074111</v>
      </c>
      <c r="BN13" s="114">
        <f>AT13</f>
        <v>0.003726851851851898</v>
      </c>
      <c r="BO13" s="114">
        <f>+AW13</f>
        <v>0.003726851851851898</v>
      </c>
    </row>
    <row r="14" spans="3:67" ht="12.75">
      <c r="C14" s="101">
        <f>RANK(D7,D$4:D$8,1)</f>
        <v>2</v>
      </c>
      <c r="D14" s="102">
        <f>D7-MIN(D$4,D$5,D$6,D$7,D$8)</f>
        <v>2.3148148148148875E-05</v>
      </c>
      <c r="F14" s="101">
        <f>RANK(G7,G$4:G$8,1)</f>
        <v>2</v>
      </c>
      <c r="G14" s="102">
        <f>G7-MIN(G$4,G$5,G$6,G$7,G$8)</f>
        <v>1.157407407407357E-05</v>
      </c>
      <c r="I14" s="101">
        <f>RANK(J7,J$4:J$8,1)</f>
        <v>2</v>
      </c>
      <c r="J14" s="102">
        <f>J7-MIN(J$4,J$5,J$6,J$7,J$8)</f>
        <v>3.472222222222071E-05</v>
      </c>
      <c r="L14" s="101">
        <f>RANK(M7,M$4:M$8,1)</f>
        <v>1</v>
      </c>
      <c r="M14" s="102">
        <f>M7-MIN(M$4,M$5,M$6,M$7,M$8)</f>
        <v>0</v>
      </c>
      <c r="O14" s="101">
        <f>RANK(P7,P$4:P$8,1)</f>
        <v>1</v>
      </c>
      <c r="P14" s="102">
        <f>P7-MIN(P$4,P$5,P$6,P$7,P$8)</f>
        <v>0</v>
      </c>
      <c r="R14" s="101">
        <f>RANK(S7,S$4:S$8,1)</f>
        <v>2</v>
      </c>
      <c r="S14" s="102">
        <f>S7-MIN(S$4,S$5,S$6,S$7,S$8)</f>
        <v>5.787037037037479E-05</v>
      </c>
      <c r="U14" s="101">
        <f>RANK(V7,V$4:V$8,1)</f>
        <v>1</v>
      </c>
      <c r="V14" s="102">
        <f>V7-MIN(V$4,V$5,V$6,V$7,V$8)</f>
        <v>0</v>
      </c>
      <c r="X14" s="101">
        <f>RANK(Y7,Y$4:Y$8,1)</f>
        <v>2</v>
      </c>
      <c r="Y14" s="102">
        <f>Y7-MIN(Y$4,Y$5,Y$6,Y$7,Y$8)</f>
        <v>0.001041666666666663</v>
      </c>
      <c r="AA14" s="101">
        <f>RANK(AB7,AB$4:AB$8,1)</f>
        <v>2</v>
      </c>
      <c r="AB14" s="102">
        <f>AB7-MIN(AB$4,AB$5,AB$6,AB$7,AB$8)</f>
        <v>0.0013657407407407368</v>
      </c>
      <c r="AD14" s="101">
        <f>RANK(AE7,AE$4:AE$8,1)</f>
        <v>2</v>
      </c>
      <c r="AE14" s="102">
        <f>AE7-MIN(AE$4,AE$5,AE$6,AE$7,AE$8)</f>
        <v>0.0008217592592592582</v>
      </c>
      <c r="AG14" s="101">
        <f>RANK(AH7,AH$4:AH$8,1)</f>
        <v>2</v>
      </c>
      <c r="AH14" s="102">
        <f>AH7-MIN(AH$4,AH$5,AH$6,AH$7,AH$8)</f>
        <v>0.0006365740740740672</v>
      </c>
      <c r="AJ14" s="101">
        <f>RANK(AK7,AK$4:AK$8,1)</f>
        <v>2</v>
      </c>
      <c r="AK14" s="102">
        <f>AK7-MIN(AK$4,AK$5,AK$6,AK$7,AK$8)</f>
        <v>0.0007523148148148168</v>
      </c>
      <c r="AM14" s="101">
        <f>RANK(AN7,AN$4:AN$8,1)</f>
        <v>2</v>
      </c>
      <c r="AN14" s="102">
        <f>AN7-MIN(AN$4,AN$5,AN$6,AN$7,AN$8)</f>
        <v>0.0008449074074074192</v>
      </c>
      <c r="AP14" s="101">
        <f>RANK(AQ7,AQ$4:AQ$8,1)</f>
        <v>2</v>
      </c>
      <c r="AQ14" s="102">
        <f>AQ7-MIN(AQ$4,AQ$5,AQ$6,AQ$7,AQ$8)</f>
        <v>0.0007638888888888973</v>
      </c>
      <c r="AS14" s="101">
        <f>RANK(AT7,AT$4:AT$8,1)</f>
        <v>2</v>
      </c>
      <c r="AT14" s="102">
        <f>AT7-MIN(AT$4,AT$5,AT$6,AT$7,AT$8)</f>
        <v>0.0009027777777777801</v>
      </c>
      <c r="AV14" s="101">
        <f>RANK(AW7,AW$4:AW$8,1)</f>
        <v>2</v>
      </c>
      <c r="AW14" s="102">
        <f>AW7-MIN(AW$4,AW$5,AW$6,AW$7,AW$8)</f>
        <v>0.0009027777777777801</v>
      </c>
      <c r="AX14" s="112"/>
      <c r="AY14" s="113" t="str">
        <f>A7</f>
        <v>Massive Tickers</v>
      </c>
      <c r="AZ14" s="114">
        <f>D14</f>
        <v>2.3148148148148875E-05</v>
      </c>
      <c r="BA14" s="114">
        <f>G14</f>
        <v>1.157407407407357E-05</v>
      </c>
      <c r="BB14" s="114">
        <f>J14</f>
        <v>3.472222222222071E-05</v>
      </c>
      <c r="BC14" s="114">
        <f>M14</f>
        <v>0</v>
      </c>
      <c r="BD14" s="114">
        <f>P14</f>
        <v>0</v>
      </c>
      <c r="BE14" s="114">
        <f>S14</f>
        <v>5.787037037037479E-05</v>
      </c>
      <c r="BF14" s="114">
        <f>V14</f>
        <v>0</v>
      </c>
      <c r="BG14" s="114">
        <f>+Y14</f>
        <v>0.001041666666666663</v>
      </c>
      <c r="BH14" s="114">
        <f>AB14</f>
        <v>0.0013657407407407368</v>
      </c>
      <c r="BI14" s="114">
        <f>AE14</f>
        <v>0.0008217592592592582</v>
      </c>
      <c r="BJ14" s="114">
        <f>AH14</f>
        <v>0.0006365740740740672</v>
      </c>
      <c r="BK14" s="114">
        <f>AK14</f>
        <v>0.0007523148148148168</v>
      </c>
      <c r="BL14" s="114">
        <f>AN14</f>
        <v>0.0008449074074074192</v>
      </c>
      <c r="BM14" s="114">
        <f>AQ14</f>
        <v>0.0007638888888888973</v>
      </c>
      <c r="BN14" s="114">
        <f>AT14</f>
        <v>0.0009027777777777801</v>
      </c>
      <c r="BO14" s="114">
        <f>+AW14</f>
        <v>0.0009027777777777801</v>
      </c>
    </row>
    <row r="15" spans="3:67" ht="12.75">
      <c r="C15" s="101">
        <f>RANK(D8,D$4:D$8,1)</f>
        <v>1</v>
      </c>
      <c r="D15" s="102">
        <f>D8-MIN(D$4,D$5,D$6,D$7,D$8)</f>
        <v>0</v>
      </c>
      <c r="F15" s="101">
        <f>RANK(G8,G$4:G$8,1)</f>
        <v>1</v>
      </c>
      <c r="G15" s="102">
        <f>G8-MIN(G$4,G$5,G$6,G$7,G$8)</f>
        <v>0</v>
      </c>
      <c r="I15" s="101">
        <f>RANK(J8,J$4:J$8,1)</f>
        <v>1</v>
      </c>
      <c r="J15" s="102">
        <f>J8-MIN(J$4,J$5,J$6,J$7,J$8)</f>
        <v>0</v>
      </c>
      <c r="L15" s="101">
        <f>RANK(M8,M$4:M$8,1)</f>
        <v>2</v>
      </c>
      <c r="M15" s="102">
        <f>M8-MIN(M$4,M$5,M$6,M$7,M$8)</f>
        <v>0.00018518518518518406</v>
      </c>
      <c r="O15" s="101">
        <f>RANK(P8,P$4:P$8,1)</f>
        <v>2</v>
      </c>
      <c r="P15" s="102">
        <f>P8-MIN(P$4,P$5,P$6,P$7,P$8)</f>
        <v>0.0001157407407407357</v>
      </c>
      <c r="R15" s="101">
        <f>RANK(S8,S$4:S$8,1)</f>
        <v>1</v>
      </c>
      <c r="S15" s="102">
        <f>S8-MIN(S$4,S$5,S$6,S$7,S$8)</f>
        <v>0</v>
      </c>
      <c r="U15" s="101">
        <f>RANK(V8,V$4:V$8,1)</f>
        <v>2</v>
      </c>
      <c r="V15" s="102">
        <f>V8-MIN(V$4,V$5,V$6,V$7,V$8)</f>
        <v>0.00019675925925925764</v>
      </c>
      <c r="X15" s="101">
        <f>RANK(Y8,Y$4:Y$8,1)</f>
        <v>1</v>
      </c>
      <c r="Y15" s="102">
        <f>Y8-MIN(Y$4,Y$5,Y$6,Y$7,Y$8)</f>
        <v>0</v>
      </c>
      <c r="AA15" s="101">
        <f>RANK(AB8,AB$4:AB$8,1)</f>
        <v>1</v>
      </c>
      <c r="AB15" s="102">
        <f>AB8-MIN(AB$4,AB$5,AB$6,AB$7,AB$8)</f>
        <v>0</v>
      </c>
      <c r="AD15" s="101">
        <f>RANK(AE8,AE$4:AE$8,1)</f>
        <v>1</v>
      </c>
      <c r="AE15" s="102">
        <f>AE8-MIN(AE$4,AE$5,AE$6,AE$7,AE$8)</f>
        <v>0</v>
      </c>
      <c r="AG15" s="101">
        <f>RANK(AH8,AH$4:AH$8,1)</f>
        <v>1</v>
      </c>
      <c r="AH15" s="102">
        <f>AH8-MIN(AH$4,AH$5,AH$6,AH$7,AH$8)</f>
        <v>0</v>
      </c>
      <c r="AJ15" s="101">
        <f>RANK(AK8,AK$4:AK$8,1)</f>
        <v>1</v>
      </c>
      <c r="AK15" s="102">
        <f>AK8-MIN(AK$4,AK$5,AK$6,AK$7,AK$8)</f>
        <v>0</v>
      </c>
      <c r="AM15" s="101">
        <f>RANK(AN8,AN$4:AN$8,1)</f>
        <v>1</v>
      </c>
      <c r="AN15" s="102">
        <f>AN8-MIN(AN$4,AN$5,AN$6,AN$7,AN$8)</f>
        <v>0</v>
      </c>
      <c r="AP15" s="101">
        <f>RANK(AQ8,AQ$4:AQ$8,1)</f>
        <v>1</v>
      </c>
      <c r="AQ15" s="102">
        <f>AQ8-MIN(AQ$4,AQ$5,AQ$6,AQ$7,AQ$8)</f>
        <v>0</v>
      </c>
      <c r="AS15" s="101">
        <f>RANK(AT8,AT$4:AT$8,1)</f>
        <v>1</v>
      </c>
      <c r="AT15" s="102">
        <f>AT8-MIN(AT$4,AT$5,AT$6,AT$7,AT$8)</f>
        <v>0</v>
      </c>
      <c r="AV15" s="101">
        <f>RANK(AW8,AW$4:AW$8,1)</f>
        <v>1</v>
      </c>
      <c r="AW15" s="102">
        <f>AW8-MIN(AW$4,AW$5,AW$6,AW$7,AW$8)</f>
        <v>0</v>
      </c>
      <c r="AX15" s="112"/>
      <c r="AY15" s="113" t="str">
        <f>A8</f>
        <v>Wesfarmers Whippets</v>
      </c>
      <c r="AZ15" s="114">
        <f>D15</f>
        <v>0</v>
      </c>
      <c r="BA15" s="114">
        <f>G15</f>
        <v>0</v>
      </c>
      <c r="BB15" s="114">
        <f>J15</f>
        <v>0</v>
      </c>
      <c r="BC15" s="114">
        <f>M15</f>
        <v>0.00018518518518518406</v>
      </c>
      <c r="BD15" s="114">
        <f>P15</f>
        <v>0.0001157407407407357</v>
      </c>
      <c r="BE15" s="114">
        <f>S15</f>
        <v>0</v>
      </c>
      <c r="BF15" s="114">
        <f>V15</f>
        <v>0.00019675925925925764</v>
      </c>
      <c r="BG15" s="114">
        <f>+Y15</f>
        <v>0</v>
      </c>
      <c r="BH15" s="114">
        <f>AB15</f>
        <v>0</v>
      </c>
      <c r="BI15" s="114">
        <f>AE15</f>
        <v>0</v>
      </c>
      <c r="BJ15" s="114">
        <f>AH15</f>
        <v>0</v>
      </c>
      <c r="BK15" s="114">
        <f>AK15</f>
        <v>0</v>
      </c>
      <c r="BL15" s="114">
        <f>AN15</f>
        <v>0</v>
      </c>
      <c r="BM15" s="114">
        <f>AQ15</f>
        <v>0</v>
      </c>
      <c r="BN15" s="114">
        <f>AT15</f>
        <v>0</v>
      </c>
      <c r="BO15" s="114">
        <f>+AW15</f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scale="1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5"/>
  <sheetViews>
    <sheetView showZeros="0" workbookViewId="0" topLeftCell="B1">
      <selection activeCell="I30" sqref="I30"/>
    </sheetView>
  </sheetViews>
  <sheetFormatPr defaultColWidth="9.140625" defaultRowHeight="12.75"/>
  <cols>
    <col min="1" max="1" width="3.7109375" style="2" customWidth="1"/>
    <col min="2" max="2" width="16.421875" style="1" customWidth="1"/>
    <col min="3" max="3" width="5.7109375" style="2" customWidth="1"/>
    <col min="4" max="4" width="5.7109375" style="10" customWidth="1"/>
    <col min="5" max="5" width="5.7109375" style="3" customWidth="1"/>
    <col min="6" max="6" width="6.7109375" style="10" customWidth="1"/>
    <col min="7" max="7" width="1.7109375" style="1" customWidth="1"/>
    <col min="8" max="8" width="5.7109375" style="2" customWidth="1"/>
    <col min="9" max="9" width="5.7109375" style="10" customWidth="1"/>
    <col min="10" max="10" width="5.7109375" style="3" customWidth="1"/>
    <col min="11" max="11" width="6.7109375" style="10" customWidth="1"/>
    <col min="12" max="12" width="1.7109375" style="1" customWidth="1"/>
    <col min="13" max="13" width="5.7109375" style="2" customWidth="1"/>
    <col min="14" max="14" width="5.7109375" style="10" customWidth="1"/>
    <col min="15" max="15" width="5.7109375" style="3" customWidth="1"/>
    <col min="16" max="16" width="6.7109375" style="10" customWidth="1"/>
    <col min="17" max="17" width="1.7109375" style="1" customWidth="1"/>
    <col min="18" max="18" width="5.7109375" style="2" customWidth="1"/>
    <col min="19" max="19" width="5.7109375" style="10" customWidth="1"/>
    <col min="20" max="20" width="5.7109375" style="3" customWidth="1"/>
    <col min="21" max="21" width="6.7109375" style="10" customWidth="1"/>
    <col min="22" max="22" width="1.7109375" style="1" customWidth="1"/>
    <col min="23" max="23" width="7.7109375" style="3" customWidth="1"/>
    <col min="24" max="24" width="7.7109375" style="10" customWidth="1"/>
    <col min="25" max="25" width="1.1484375" style="1" customWidth="1"/>
    <col min="26" max="16384" width="9.140625" style="1" customWidth="1"/>
  </cols>
  <sheetData>
    <row r="1" spans="1:24" s="7" customFormat="1" ht="12.75">
      <c r="A1" s="25"/>
      <c r="B1" s="26"/>
      <c r="C1" s="11" t="s">
        <v>33</v>
      </c>
      <c r="D1" s="18"/>
      <c r="E1" s="20"/>
      <c r="F1" s="22"/>
      <c r="G1" s="1"/>
      <c r="H1" s="11" t="s">
        <v>34</v>
      </c>
      <c r="I1" s="18"/>
      <c r="J1" s="20"/>
      <c r="K1" s="22"/>
      <c r="L1" s="1"/>
      <c r="M1" s="11" t="s">
        <v>35</v>
      </c>
      <c r="N1" s="18"/>
      <c r="O1" s="20"/>
      <c r="P1" s="22"/>
      <c r="Q1" s="1"/>
      <c r="R1" s="11" t="s">
        <v>36</v>
      </c>
      <c r="S1" s="18"/>
      <c r="T1" s="20"/>
      <c r="U1" s="22"/>
      <c r="W1" s="28" t="s">
        <v>39</v>
      </c>
      <c r="X1" s="27" t="s">
        <v>40</v>
      </c>
    </row>
    <row r="2" spans="1:26" ht="12.75">
      <c r="A2" s="9" t="s">
        <v>28</v>
      </c>
      <c r="B2" s="8"/>
      <c r="C2" s="142" t="s">
        <v>11</v>
      </c>
      <c r="D2" s="27" t="s">
        <v>7</v>
      </c>
      <c r="E2" s="28" t="s">
        <v>32</v>
      </c>
      <c r="F2" s="27" t="s">
        <v>8</v>
      </c>
      <c r="H2" s="12" t="s">
        <v>11</v>
      </c>
      <c r="I2" s="19" t="s">
        <v>7</v>
      </c>
      <c r="J2" s="21" t="s">
        <v>32</v>
      </c>
      <c r="K2" s="19" t="s">
        <v>8</v>
      </c>
      <c r="M2" s="12" t="s">
        <v>11</v>
      </c>
      <c r="N2" s="19" t="s">
        <v>7</v>
      </c>
      <c r="O2" s="21" t="s">
        <v>32</v>
      </c>
      <c r="P2" s="19" t="s">
        <v>8</v>
      </c>
      <c r="R2" s="12" t="s">
        <v>11</v>
      </c>
      <c r="S2" s="19" t="s">
        <v>7</v>
      </c>
      <c r="T2" s="21" t="s">
        <v>32</v>
      </c>
      <c r="U2" s="19" t="s">
        <v>8</v>
      </c>
      <c r="W2" s="148" t="s">
        <v>38</v>
      </c>
      <c r="X2" s="149" t="s">
        <v>8</v>
      </c>
      <c r="Z2" s="2" t="s">
        <v>10</v>
      </c>
    </row>
    <row r="3" spans="1:26" ht="12.75">
      <c r="A3" s="4"/>
      <c r="B3" s="141" t="str">
        <f>+'Team Selection'!D3</f>
        <v>Stephen Paine</v>
      </c>
      <c r="C3" s="143" t="str">
        <f>VLOOKUP($B3&amp;"1",Data!$C:$G,2,FALSE)</f>
        <v>1 #1</v>
      </c>
      <c r="D3" s="144">
        <f>VLOOKUP($B3&amp;"1",Data!$C:$G,4,FALSE)</f>
        <v>0.006701388888888889</v>
      </c>
      <c r="E3" s="145">
        <f>VLOOKUP($B3&amp;"1",Data!$C:$G,5,FALSE)</f>
        <v>3</v>
      </c>
      <c r="F3" s="146">
        <f>+D3/E3</f>
        <v>0.0022337962962962962</v>
      </c>
      <c r="H3" s="143">
        <f>VLOOKUP($B3&amp;"2",Data!$C:$G,2,FALSE)</f>
        <v>5</v>
      </c>
      <c r="I3" s="144">
        <f>VLOOKUP($B3&amp;"2",Data!$C:$G,4,FALSE)</f>
        <v>0.009976851851851853</v>
      </c>
      <c r="J3" s="145">
        <f>VLOOKUP($B3&amp;"2",Data!$C:$G,5,FALSE)</f>
        <v>4.7</v>
      </c>
      <c r="K3" s="146">
        <f>+I3/J3</f>
        <v>0.002122734436564224</v>
      </c>
      <c r="M3" s="143">
        <f>VLOOKUP($B3&amp;"3",Data!$C:$G,2,FALSE)</f>
        <v>9</v>
      </c>
      <c r="N3" s="144">
        <f>VLOOKUP($B3&amp;"3",Data!$C:$G,4,FALSE)</f>
        <v>0.00912037037037037</v>
      </c>
      <c r="O3" s="145">
        <f>VLOOKUP($B3&amp;"3",Data!$C:$G,5,FALSE)</f>
        <v>3.6</v>
      </c>
      <c r="P3" s="146">
        <f>+N3/O3</f>
        <v>0.0025334362139917696</v>
      </c>
      <c r="R3" s="143">
        <f>VLOOKUP($B3&amp;"4",Data!$C:$G,2,FALSE)</f>
        <v>12</v>
      </c>
      <c r="S3" s="144">
        <f>VLOOKUP($B3&amp;"4",Data!$C:$G,4,FALSE)</f>
        <v>0.00980324074074074</v>
      </c>
      <c r="T3" s="145">
        <f>VLOOKUP($B3&amp;"4",Data!$C:$G,5,FALSE)</f>
        <v>4</v>
      </c>
      <c r="U3" s="146">
        <f>+S3/T3</f>
        <v>0.002450810185185185</v>
      </c>
      <c r="W3" s="150">
        <f>SUM(E3,J3,O3,T3)</f>
        <v>15.3</v>
      </c>
      <c r="X3" s="146">
        <f>SUM(D3,I3,N3,S3)/W3</f>
        <v>0.0023269184216896635</v>
      </c>
      <c r="Z3" s="2">
        <f>RANK(X3,X3:X7,1)</f>
        <v>2</v>
      </c>
    </row>
    <row r="4" spans="1:26" ht="12.75">
      <c r="A4" s="5"/>
      <c r="B4" s="141" t="str">
        <f>+'Team Selection'!D4</f>
        <v>Patrick O'Keefe</v>
      </c>
      <c r="C4" s="147" t="str">
        <f>VLOOKUP($B4&amp;"1",Data!$C:$G,2,FALSE)</f>
        <v>1 #1</v>
      </c>
      <c r="D4" s="13">
        <f>IF(ISNA(VLOOKUP($B4&amp;"1",Data!$C:$G,4,FALSE)),"NA",VLOOKUP($B4&amp;"1",Data!$C:$G,4,FALSE))</f>
        <v>0.007222222222222223</v>
      </c>
      <c r="E4" s="14">
        <f>IF(ISNA(VLOOKUP($B4&amp;"1",Data!$C:$G,5,FALSE)),"NA",VLOOKUP($B4&amp;"1",Data!$C:$G,5,FALSE))</f>
        <v>3</v>
      </c>
      <c r="F4" s="15">
        <f>+D4/E4</f>
        <v>0.0024074074074074076</v>
      </c>
      <c r="H4" s="147" t="e">
        <f>VLOOKUP($B4&amp;"2",Data!$C:$G,2,FALSE)</f>
        <v>#N/A</v>
      </c>
      <c r="I4" s="13" t="str">
        <f>IF(ISNA(VLOOKUP($B4&amp;"2",Data!$C:$G,4,FALSE)),"NA",VLOOKUP($B4&amp;"2",Data!$C:$G,4,FALSE))</f>
        <v>NA</v>
      </c>
      <c r="J4" s="14" t="str">
        <f>IF(ISNA(VLOOKUP($B4&amp;"2",Data!$C:$G,5,FALSE)),"NA",VLOOKUP($B4&amp;"2",Data!$C:$G,5,FALSE))</f>
        <v>NA</v>
      </c>
      <c r="K4" s="15" t="e">
        <f>+I4/J4</f>
        <v>#VALUE!</v>
      </c>
      <c r="M4" s="147" t="e">
        <f>VLOOKUP($B4&amp;"3",Data!$C:$G,2,FALSE)</f>
        <v>#N/A</v>
      </c>
      <c r="N4" s="13" t="str">
        <f>IF(ISNA(VLOOKUP($B4&amp;"3",Data!$C:$G,4,FALSE)),"NA",VLOOKUP($B4&amp;"3",Data!$C:$G,4,FALSE))</f>
        <v>NA</v>
      </c>
      <c r="O4" s="14" t="str">
        <f>IF(ISNA(VLOOKUP($B4&amp;"3",Data!$C:$G,5,FALSE)),"NA",VLOOKUP($B4&amp;"3",Data!$C:$G,5,FALSE))</f>
        <v>NA</v>
      </c>
      <c r="P4" s="15" t="e">
        <f>+N4/O4</f>
        <v>#VALUE!</v>
      </c>
      <c r="R4" s="147" t="e">
        <f>VLOOKUP($B4&amp;"4",Data!$C:$G,2,FALSE)</f>
        <v>#N/A</v>
      </c>
      <c r="S4" s="13" t="str">
        <f>IF(ISNA(VLOOKUP($B4&amp;"4",Data!$C:$G,4,FALSE)),"NA",VLOOKUP($B4&amp;"4",Data!$C:$G,4,FALSE))</f>
        <v>NA</v>
      </c>
      <c r="T4" s="14" t="str">
        <f>IF(ISNA(VLOOKUP($B4&amp;"4",Data!$C:$G,5,FALSE)),"NA",VLOOKUP($B4&amp;"4",Data!$C:$G,5,FALSE))</f>
        <v>NA</v>
      </c>
      <c r="U4" s="15" t="e">
        <f>+S4/T4</f>
        <v>#VALUE!</v>
      </c>
      <c r="W4" s="151">
        <f>SUM(E4,J4,O4,T4)</f>
        <v>3</v>
      </c>
      <c r="X4" s="15">
        <f>SUM(D4,I4,N4,S4)/W4</f>
        <v>0.0024074074074074076</v>
      </c>
      <c r="Z4" s="2">
        <f>RANK(X4,X3:X7,1)</f>
        <v>3</v>
      </c>
    </row>
    <row r="5" spans="1:26" ht="12.75">
      <c r="A5" s="5"/>
      <c r="B5" s="141" t="str">
        <f>+'Team Selection'!D5</f>
        <v>Luke Yeatman</v>
      </c>
      <c r="C5" s="147" t="str">
        <f>VLOOKUP($B5&amp;"1",Data!$C:$G,2,FALSE)</f>
        <v>1 #1</v>
      </c>
      <c r="D5" s="13">
        <f>VLOOKUP($B5&amp;"1",Data!$C:$G,4,FALSE)</f>
        <v>0.007071759259259259</v>
      </c>
      <c r="E5" s="14">
        <f>VLOOKUP($B5&amp;"1",Data!$C:$G,5,FALSE)</f>
        <v>3</v>
      </c>
      <c r="F5" s="15">
        <f>+D5/E5</f>
        <v>0.002357253086419753</v>
      </c>
      <c r="H5" s="147">
        <f>VLOOKUP($B5&amp;"2",Data!$C:$G,2,FALSE)</f>
        <v>5</v>
      </c>
      <c r="I5" s="13">
        <f>VLOOKUP($B5&amp;"2",Data!$C:$G,4,FALSE)</f>
        <v>0.01025462962962963</v>
      </c>
      <c r="J5" s="14">
        <f>VLOOKUP($B5&amp;"2",Data!$C:$G,5,FALSE)</f>
        <v>4.7</v>
      </c>
      <c r="K5" s="15">
        <f>+I5/J5</f>
        <v>0.002181836091410559</v>
      </c>
      <c r="M5" s="147">
        <f>VLOOKUP($B5&amp;"3",Data!$C:$G,2,FALSE)</f>
        <v>10</v>
      </c>
      <c r="N5" s="13">
        <f>VLOOKUP($B5&amp;"3",Data!$C:$G,4,FALSE)</f>
        <v>0.010289351851851852</v>
      </c>
      <c r="O5" s="14">
        <f>VLOOKUP($B5&amp;"3",Data!$C:$G,5,FALSE)</f>
        <v>4.45</v>
      </c>
      <c r="P5" s="15">
        <f>+N5/O5</f>
        <v>0.002312213899292551</v>
      </c>
      <c r="R5" s="147">
        <f>VLOOKUP($B5&amp;"4",Data!$C:$G,2,FALSE)</f>
        <v>13</v>
      </c>
      <c r="S5" s="13">
        <f>VLOOKUP($B5&amp;"4",Data!$C:$G,4,FALSE)</f>
        <v>0.010659722222222221</v>
      </c>
      <c r="T5" s="14">
        <f>VLOOKUP($B5&amp;"4",Data!$C:$G,5,FALSE)</f>
        <v>4.5</v>
      </c>
      <c r="U5" s="15">
        <f>+S5/T5</f>
        <v>0.002368827160493827</v>
      </c>
      <c r="W5" s="151">
        <f>SUM(E5,J5,O5,T5)</f>
        <v>16.65</v>
      </c>
      <c r="X5" s="15">
        <f>SUM(D5,I5,N5,S5)/W5</f>
        <v>0.00229882660438216</v>
      </c>
      <c r="Z5" s="2">
        <f>RANK(X5,X3:X7,1)</f>
        <v>1</v>
      </c>
    </row>
    <row r="6" spans="1:26" ht="12.75">
      <c r="A6" s="5"/>
      <c r="B6" s="141" t="str">
        <f>+'Team Selection'!D6</f>
        <v>David Venour</v>
      </c>
      <c r="C6" s="147" t="str">
        <f>VLOOKUP($B6&amp;"1",Data!$C:$G,2,FALSE)</f>
        <v>1 #1</v>
      </c>
      <c r="D6" s="13">
        <f>VLOOKUP($B6&amp;"1",Data!$C:$G,4,FALSE)</f>
        <v>0.007025462962962963</v>
      </c>
      <c r="E6" s="14">
        <f>VLOOKUP($B6&amp;"1",Data!$C:$G,5,FALSE)</f>
        <v>3</v>
      </c>
      <c r="F6" s="15">
        <f>+D6/E6</f>
        <v>0.0023418209876543213</v>
      </c>
      <c r="H6" s="147">
        <f>VLOOKUP($B6&amp;"2",Data!$C:$G,2,FALSE)</f>
        <v>4</v>
      </c>
      <c r="I6" s="13">
        <f>VLOOKUP($B6&amp;"2",Data!$C:$G,4,FALSE)</f>
        <v>0.009502314814814816</v>
      </c>
      <c r="J6" s="14">
        <f>VLOOKUP($B6&amp;"2",Data!$C:$G,5,FALSE)</f>
        <v>4.2</v>
      </c>
      <c r="K6" s="15">
        <f>+I6/J6</f>
        <v>0.0022624559082892416</v>
      </c>
      <c r="M6" s="147">
        <f>VLOOKUP($B6&amp;"3",Data!$C:$G,2,FALSE)</f>
        <v>9</v>
      </c>
      <c r="N6" s="13">
        <f>VLOOKUP($B6&amp;"3",Data!$C:$G,4,FALSE)</f>
        <v>0.009293981481481481</v>
      </c>
      <c r="O6" s="14">
        <f>VLOOKUP($B6&amp;"3",Data!$C:$G,5,FALSE)</f>
        <v>3.6</v>
      </c>
      <c r="P6" s="15">
        <f>+N6/O6</f>
        <v>0.0025816615226337447</v>
      </c>
      <c r="R6" s="147">
        <f>VLOOKUP($B6&amp;"4",Data!$C:$G,2,FALSE)</f>
        <v>12</v>
      </c>
      <c r="S6" s="13">
        <f>VLOOKUP($B6&amp;"4",Data!$C:$G,4,FALSE)</f>
        <v>0.010162037037037037</v>
      </c>
      <c r="T6" s="14">
        <f>VLOOKUP($B6&amp;"4",Data!$C:$G,5,FALSE)</f>
        <v>4</v>
      </c>
      <c r="U6" s="15">
        <f>+S6/T6</f>
        <v>0.0025405092592592593</v>
      </c>
      <c r="W6" s="151">
        <f>SUM(E6,J6,O6,T6)</f>
        <v>14.8</v>
      </c>
      <c r="X6" s="15">
        <f>SUM(D6,I6,N6,S6)/W6</f>
        <v>0.0024313375875875875</v>
      </c>
      <c r="Z6" s="2">
        <f>RANK(X6,X3:X7,1)</f>
        <v>5</v>
      </c>
    </row>
    <row r="7" spans="1:26" ht="12.75">
      <c r="A7" s="5"/>
      <c r="B7" s="141" t="str">
        <f>+'Team Selection'!D7</f>
        <v>Andrew Coles</v>
      </c>
      <c r="C7" s="147" t="str">
        <f>VLOOKUP($B7&amp;"1",Data!$C:$G,2,FALSE)</f>
        <v>1 #1</v>
      </c>
      <c r="D7" s="13">
        <f>VLOOKUP($B7&amp;"1",Data!$C:$G,4,FALSE)</f>
        <v>0.007071759259259259</v>
      </c>
      <c r="E7" s="14">
        <f>VLOOKUP($B7&amp;"1",Data!$C:$G,5,FALSE)</f>
        <v>3</v>
      </c>
      <c r="F7" s="15">
        <f>+D7/E7</f>
        <v>0.002357253086419753</v>
      </c>
      <c r="H7" s="147">
        <f>VLOOKUP($B7&amp;"2",Data!$C:$G,2,FALSE)</f>
        <v>5</v>
      </c>
      <c r="I7" s="13">
        <f>VLOOKUP($B7&amp;"2",Data!$C:$G,4,FALSE)</f>
        <v>0.010127314814814815</v>
      </c>
      <c r="J7" s="14">
        <f>VLOOKUP($B7&amp;"2",Data!$C:$G,5,FALSE)</f>
        <v>4.7</v>
      </c>
      <c r="K7" s="15">
        <f>+I7/J7</f>
        <v>0.0021547478329393224</v>
      </c>
      <c r="M7" s="147">
        <f>VLOOKUP($B7&amp;"3",Data!$C:$G,2,FALSE)</f>
        <v>9</v>
      </c>
      <c r="N7" s="13">
        <f>VLOOKUP($B7&amp;"3",Data!$C:$G,4,FALSE)</f>
        <v>0.009837962962962963</v>
      </c>
      <c r="O7" s="14">
        <f>VLOOKUP($B7&amp;"3",Data!$C:$G,5,FALSE)</f>
        <v>3.6</v>
      </c>
      <c r="P7" s="15">
        <f>+N7/O7</f>
        <v>0.0027327674897119343</v>
      </c>
      <c r="R7" s="147">
        <f>VLOOKUP($B7&amp;"4",Data!$C:$G,2,FALSE)</f>
        <v>12</v>
      </c>
      <c r="S7" s="13">
        <f>VLOOKUP($B7&amp;"4",Data!$C:$G,4,FALSE)</f>
        <v>0.010069444444444445</v>
      </c>
      <c r="T7" s="14">
        <f>VLOOKUP($B7&amp;"4",Data!$C:$G,5,FALSE)</f>
        <v>4</v>
      </c>
      <c r="U7" s="15">
        <f>+S7/T7</f>
        <v>0.0025173611111111113</v>
      </c>
      <c r="W7" s="151">
        <f>SUM(E7,J7,O7,T7)</f>
        <v>15.3</v>
      </c>
      <c r="X7" s="15">
        <f>SUM(D7,I7,N7,S7)/W7</f>
        <v>0.0024252602275478094</v>
      </c>
      <c r="Z7" s="2">
        <f>RANK(X7,X3:X7,1)</f>
        <v>4</v>
      </c>
    </row>
    <row r="8" spans="1:24" s="7" customFormat="1" ht="12.75">
      <c r="A8" s="6"/>
      <c r="C8" s="6"/>
      <c r="D8" s="13"/>
      <c r="E8" s="14"/>
      <c r="F8" s="13"/>
      <c r="H8" s="6"/>
      <c r="I8" s="13"/>
      <c r="J8" s="14"/>
      <c r="K8" s="13"/>
      <c r="M8" s="6"/>
      <c r="N8" s="13"/>
      <c r="O8" s="14"/>
      <c r="P8" s="13"/>
      <c r="R8" s="6"/>
      <c r="S8" s="13"/>
      <c r="T8" s="14"/>
      <c r="U8" s="13"/>
      <c r="W8" s="14"/>
      <c r="X8" s="13"/>
    </row>
    <row r="9" spans="1:24" s="7" customFormat="1" ht="12.75">
      <c r="A9" s="6"/>
      <c r="C9" s="6"/>
      <c r="D9" s="13"/>
      <c r="E9" s="14"/>
      <c r="F9" s="13"/>
      <c r="H9" s="6"/>
      <c r="I9" s="13"/>
      <c r="J9" s="14"/>
      <c r="K9" s="13"/>
      <c r="M9" s="6"/>
      <c r="N9" s="13"/>
      <c r="O9" s="14"/>
      <c r="P9" s="13"/>
      <c r="R9" s="6"/>
      <c r="S9" s="13"/>
      <c r="T9" s="14"/>
      <c r="U9" s="13"/>
      <c r="W9" s="28" t="s">
        <v>39</v>
      </c>
      <c r="X9" s="27" t="s">
        <v>40</v>
      </c>
    </row>
    <row r="10" spans="1:24" ht="12.75">
      <c r="A10" s="9" t="s">
        <v>29</v>
      </c>
      <c r="B10" s="8"/>
      <c r="C10" s="12" t="s">
        <v>11</v>
      </c>
      <c r="D10" s="19" t="s">
        <v>7</v>
      </c>
      <c r="E10" s="21" t="s">
        <v>32</v>
      </c>
      <c r="F10" s="19" t="s">
        <v>8</v>
      </c>
      <c r="H10" s="12" t="s">
        <v>11</v>
      </c>
      <c r="I10" s="19" t="s">
        <v>7</v>
      </c>
      <c r="J10" s="21" t="s">
        <v>32</v>
      </c>
      <c r="K10" s="19" t="s">
        <v>8</v>
      </c>
      <c r="M10" s="12" t="s">
        <v>11</v>
      </c>
      <c r="N10" s="19" t="s">
        <v>7</v>
      </c>
      <c r="O10" s="21" t="s">
        <v>32</v>
      </c>
      <c r="P10" s="19" t="s">
        <v>8</v>
      </c>
      <c r="R10" s="12" t="s">
        <v>11</v>
      </c>
      <c r="S10" s="19" t="s">
        <v>7</v>
      </c>
      <c r="T10" s="21" t="s">
        <v>32</v>
      </c>
      <c r="U10" s="19" t="s">
        <v>8</v>
      </c>
      <c r="W10" s="24" t="s">
        <v>38</v>
      </c>
      <c r="X10" s="23" t="s">
        <v>8</v>
      </c>
    </row>
    <row r="11" spans="1:26" ht="12.75">
      <c r="A11" s="4"/>
      <c r="B11" s="132" t="str">
        <f>+'Team Selection'!F3</f>
        <v>Luke Gray</v>
      </c>
      <c r="C11" s="143" t="str">
        <f>VLOOKUP($B11&amp;"1",Data!$C:$G,2,FALSE)</f>
        <v>1 #2</v>
      </c>
      <c r="D11" s="144">
        <f>VLOOKUP($B11&amp;"1",Data!$C:$G,4,FALSE)</f>
        <v>0.007476851851851853</v>
      </c>
      <c r="E11" s="145">
        <f>VLOOKUP($B11&amp;"1",Data!$C:$G,5,FALSE)</f>
        <v>3</v>
      </c>
      <c r="F11" s="146">
        <f>+D11/E11</f>
        <v>0.002492283950617284</v>
      </c>
      <c r="H11" s="143">
        <f>VLOOKUP($B11&amp;"2",Data!$C:$G,2,FALSE)</f>
        <v>4</v>
      </c>
      <c r="I11" s="144">
        <f>VLOOKUP($B11&amp;"2",Data!$C:$G,4,FALSE)</f>
        <v>0.01037037037037037</v>
      </c>
      <c r="J11" s="145">
        <f>VLOOKUP($B11&amp;"2",Data!$C:$G,5,FALSE)</f>
        <v>4.2</v>
      </c>
      <c r="K11" s="146">
        <f>+I11/J11</f>
        <v>0.0024691358024691358</v>
      </c>
      <c r="M11" s="143">
        <f>VLOOKUP($B11&amp;"3",Data!$C:$G,2,FALSE)</f>
        <v>10</v>
      </c>
      <c r="N11" s="144">
        <f>VLOOKUP($B11&amp;"3",Data!$C:$G,4,FALSE)</f>
        <v>0.010891203703703703</v>
      </c>
      <c r="O11" s="145">
        <f>VLOOKUP($B11&amp;"3",Data!$C:$G,5,FALSE)</f>
        <v>4.45</v>
      </c>
      <c r="P11" s="146">
        <f>+N11/O11</f>
        <v>0.0024474615064502703</v>
      </c>
      <c r="R11" s="143">
        <f>VLOOKUP($B11&amp;"4",Data!$C:$G,2,FALSE)</f>
        <v>13</v>
      </c>
      <c r="S11" s="144">
        <f>VLOOKUP($B11&amp;"4",Data!$C:$G,4,FALSE)</f>
        <v>0.01136574074074074</v>
      </c>
      <c r="T11" s="145">
        <f>VLOOKUP($B11&amp;"4",Data!$C:$G,5,FALSE)</f>
        <v>4.5</v>
      </c>
      <c r="U11" s="146">
        <f>+S11/T11</f>
        <v>0.0025257201646090533</v>
      </c>
      <c r="W11" s="150">
        <f>SUM(E11,J11,O11,T11)</f>
        <v>16.15</v>
      </c>
      <c r="X11" s="146">
        <f>SUM(D11,I11,N11,S11)/W11</f>
        <v>0.002483230134158927</v>
      </c>
      <c r="Z11" s="2">
        <f>RANK(X11,X11:X15,1)</f>
        <v>3</v>
      </c>
    </row>
    <row r="12" spans="1:26" ht="12.75">
      <c r="A12" s="5"/>
      <c r="B12" s="132" t="str">
        <f>+'Team Selection'!F4</f>
        <v>Shane Fielding</v>
      </c>
      <c r="C12" s="147" t="str">
        <f>VLOOKUP($B12&amp;"1",Data!$C:$G,2,FALSE)</f>
        <v>1 #2</v>
      </c>
      <c r="D12" s="13">
        <f>VLOOKUP($B12&amp;"1",Data!$C:$G,4,FALSE)</f>
        <v>0.0076157407407407415</v>
      </c>
      <c r="E12" s="14">
        <f>VLOOKUP($B12&amp;"1",Data!$C:$G,5,FALSE)</f>
        <v>3</v>
      </c>
      <c r="F12" s="15">
        <f>+D12/E12</f>
        <v>0.0025385802469135806</v>
      </c>
      <c r="H12" s="147">
        <f>VLOOKUP($B12&amp;"2",Data!$C:$G,2,FALSE)</f>
        <v>4</v>
      </c>
      <c r="I12" s="13">
        <f>VLOOKUP($B12&amp;"2",Data!$C:$G,4,FALSE)</f>
        <v>0.010347222222222223</v>
      </c>
      <c r="J12" s="14">
        <f>VLOOKUP($B12&amp;"2",Data!$C:$G,5,FALSE)</f>
        <v>4.2</v>
      </c>
      <c r="K12" s="15">
        <f>+I12/J12</f>
        <v>0.002463624338624339</v>
      </c>
      <c r="M12" s="147">
        <f>VLOOKUP($B12&amp;"3",Data!$C:$G,2,FALSE)</f>
        <v>9</v>
      </c>
      <c r="N12" s="13">
        <f>VLOOKUP($B12&amp;"3",Data!$C:$G,4,FALSE)</f>
        <v>0.010266203703703703</v>
      </c>
      <c r="O12" s="14">
        <f>VLOOKUP($B12&amp;"3",Data!$C:$G,5,FALSE)</f>
        <v>3.6</v>
      </c>
      <c r="P12" s="15">
        <f>+N12/O12</f>
        <v>0.0028517232510288063</v>
      </c>
      <c r="R12" s="147">
        <f>VLOOKUP($B12&amp;"4",Data!$C:$G,2,FALSE)</f>
        <v>12</v>
      </c>
      <c r="S12" s="13">
        <f>VLOOKUP($B12&amp;"4",Data!$C:$G,4,FALSE)</f>
        <v>0.011041666666666667</v>
      </c>
      <c r="T12" s="14">
        <f>VLOOKUP($B12&amp;"4",Data!$C:$G,5,FALSE)</f>
        <v>4</v>
      </c>
      <c r="U12" s="15">
        <f>+S12/T12</f>
        <v>0.0027604166666666667</v>
      </c>
      <c r="W12" s="151">
        <f>SUM(E12,J12,O12,T12)</f>
        <v>14.8</v>
      </c>
      <c r="X12" s="15">
        <f>SUM(D12,I12,N12,S12)/W12</f>
        <v>0.0026534346846846845</v>
      </c>
      <c r="Z12" s="2">
        <f>RANK(X12,X11:X15,1)</f>
        <v>5</v>
      </c>
    </row>
    <row r="13" spans="1:26" ht="12.75">
      <c r="A13" s="5"/>
      <c r="B13" s="132" t="str">
        <f>+'Team Selection'!F5</f>
        <v>Richard Does</v>
      </c>
      <c r="C13" s="147" t="str">
        <f>VLOOKUP($B13&amp;"1",Data!$C:$G,2,FALSE)</f>
        <v>1 #2</v>
      </c>
      <c r="D13" s="13">
        <f>VLOOKUP($B13&amp;"1",Data!$C:$G,4,FALSE)</f>
        <v>0.007326388888888889</v>
      </c>
      <c r="E13" s="14">
        <f>VLOOKUP($B13&amp;"1",Data!$C:$G,5,FALSE)</f>
        <v>3</v>
      </c>
      <c r="F13" s="15">
        <f>+D13/E13</f>
        <v>0.0024421296296296296</v>
      </c>
      <c r="H13" s="147">
        <f>VLOOKUP($B13&amp;"2",Data!$C:$G,2,FALSE)</f>
        <v>4</v>
      </c>
      <c r="I13" s="13">
        <f>VLOOKUP($B13&amp;"2",Data!$C:$G,4,FALSE)</f>
        <v>0.009733796296296298</v>
      </c>
      <c r="J13" s="14">
        <f>VLOOKUP($B13&amp;"2",Data!$C:$G,5,FALSE)</f>
        <v>4.2</v>
      </c>
      <c r="K13" s="15">
        <f>+I13/J13</f>
        <v>0.002317570546737214</v>
      </c>
      <c r="M13" s="147">
        <f>VLOOKUP($B13&amp;"3",Data!$C:$G,2,FALSE)</f>
        <v>9</v>
      </c>
      <c r="N13" s="13">
        <f>VLOOKUP($B13&amp;"3",Data!$C:$G,4,FALSE)</f>
        <v>0.00986111111111111</v>
      </c>
      <c r="O13" s="14">
        <f>VLOOKUP($B13&amp;"3",Data!$C:$G,5,FALSE)</f>
        <v>3.6</v>
      </c>
      <c r="P13" s="15">
        <f>+N13/O13</f>
        <v>0.0027391975308641973</v>
      </c>
      <c r="R13" s="147">
        <f>VLOOKUP($B13&amp;"4",Data!$C:$G,2,FALSE)</f>
        <v>12</v>
      </c>
      <c r="S13" s="13">
        <f>VLOOKUP($B13&amp;"4",Data!$C:$G,4,FALSE)</f>
        <v>0.010578703703703703</v>
      </c>
      <c r="T13" s="14">
        <f>VLOOKUP($B13&amp;"4",Data!$C:$G,5,FALSE)</f>
        <v>4</v>
      </c>
      <c r="U13" s="15">
        <f>+S13/T13</f>
        <v>0.0026446759259259258</v>
      </c>
      <c r="W13" s="151">
        <f>SUM(E13,J13,O13,T13)</f>
        <v>14.8</v>
      </c>
      <c r="X13" s="15">
        <f>SUM(D13,I13,N13,S13)/W13</f>
        <v>0.0025337837837837835</v>
      </c>
      <c r="Z13" s="2">
        <f>RANK(X13,X11:X15,1)</f>
        <v>4</v>
      </c>
    </row>
    <row r="14" spans="1:26" ht="12.75">
      <c r="A14" s="5"/>
      <c r="B14" s="132" t="str">
        <f>+'Team Selection'!F6</f>
        <v>Troy Williams</v>
      </c>
      <c r="C14" s="147" t="str">
        <f>VLOOKUP($B14&amp;"1",Data!$C:$G,2,FALSE)</f>
        <v>1 #2</v>
      </c>
      <c r="D14" s="13">
        <f>VLOOKUP($B14&amp;"1",Data!$C:$G,4,FALSE)</f>
        <v>0.007141203703703704</v>
      </c>
      <c r="E14" s="14">
        <f>VLOOKUP($B14&amp;"1",Data!$C:$G,5,FALSE)</f>
        <v>3</v>
      </c>
      <c r="F14" s="15">
        <f>+D14/E14</f>
        <v>0.0023804012345679014</v>
      </c>
      <c r="H14" s="147">
        <f>VLOOKUP($B14&amp;"2",Data!$C:$G,2,FALSE)</f>
        <v>5</v>
      </c>
      <c r="I14" s="13">
        <f>VLOOKUP($B14&amp;"2",Data!$C:$G,4,FALSE)</f>
        <v>0.01019675925925926</v>
      </c>
      <c r="J14" s="14">
        <f>VLOOKUP($B14&amp;"2",Data!$C:$G,5,FALSE)</f>
        <v>4.7</v>
      </c>
      <c r="K14" s="15">
        <f>+I14/J14</f>
        <v>0.0021695232466509063</v>
      </c>
      <c r="M14" s="147">
        <f>VLOOKUP($B14&amp;"3",Data!$C:$G,2,FALSE)</f>
        <v>10</v>
      </c>
      <c r="N14" s="13">
        <f>VLOOKUP($B14&amp;"3",Data!$C:$G,4,FALSE)</f>
        <v>0.010127314814814815</v>
      </c>
      <c r="O14" s="14">
        <f>VLOOKUP($B14&amp;"3",Data!$C:$G,5,FALSE)</f>
        <v>4.45</v>
      </c>
      <c r="P14" s="15">
        <f>+N14/O14</f>
        <v>0.002275801081980857</v>
      </c>
      <c r="R14" s="147">
        <f>VLOOKUP($B14&amp;"4",Data!$C:$G,2,FALSE)</f>
        <v>13</v>
      </c>
      <c r="S14" s="13">
        <f>VLOOKUP($B14&amp;"4",Data!$C:$G,4,FALSE)</f>
        <v>0.010462962962962964</v>
      </c>
      <c r="T14" s="14">
        <f>VLOOKUP($B14&amp;"4",Data!$C:$G,5,FALSE)</f>
        <v>4.5</v>
      </c>
      <c r="U14" s="15">
        <f>+S14/T14</f>
        <v>0.0023251028806584363</v>
      </c>
      <c r="W14" s="151">
        <f>SUM(E14,J14,O14,T14)</f>
        <v>16.65</v>
      </c>
      <c r="X14" s="15">
        <f>SUM(D14,I14,N14,S14)/W14</f>
        <v>0.002277972416861306</v>
      </c>
      <c r="Z14" s="2">
        <f>RANK(X14,X11:X15,1)</f>
        <v>1</v>
      </c>
    </row>
    <row r="15" spans="1:26" ht="12.75">
      <c r="A15" s="5"/>
      <c r="B15" s="132" t="str">
        <f>+'Team Selection'!F7</f>
        <v>Colin Thornton</v>
      </c>
      <c r="C15" s="147" t="str">
        <f>VLOOKUP($B15&amp;"1",Data!$C:$G,2,FALSE)</f>
        <v>1 #2</v>
      </c>
      <c r="D15" s="13">
        <f>VLOOKUP($B15&amp;"1",Data!$C:$G,4,FALSE)</f>
        <v>0.007071759259259259</v>
      </c>
      <c r="E15" s="14">
        <f>VLOOKUP($B15&amp;"1",Data!$C:$G,5,FALSE)</f>
        <v>3</v>
      </c>
      <c r="F15" s="15">
        <f>+D15/E15</f>
        <v>0.002357253086419753</v>
      </c>
      <c r="H15" s="147">
        <f>VLOOKUP($B15&amp;"2",Data!$C:$G,2,FALSE)</f>
        <v>4</v>
      </c>
      <c r="I15" s="13">
        <f>VLOOKUP($B15&amp;"2",Data!$C:$G,4,FALSE)</f>
        <v>0.009722222222222222</v>
      </c>
      <c r="J15" s="14">
        <f>VLOOKUP($B15&amp;"2",Data!$C:$G,5,FALSE)</f>
        <v>4.2</v>
      </c>
      <c r="K15" s="15">
        <f>+I15/J15</f>
        <v>0.0023148148148148147</v>
      </c>
      <c r="M15" s="147">
        <f>VLOOKUP($B15&amp;"3",Data!$C:$G,2,FALSE)</f>
        <v>10</v>
      </c>
      <c r="N15" s="13">
        <f>VLOOKUP($B15&amp;"3",Data!$C:$G,4,FALSE)</f>
        <v>0.0103125</v>
      </c>
      <c r="O15" s="14">
        <f>VLOOKUP($B15&amp;"3",Data!$C:$G,5,FALSE)</f>
        <v>4.45</v>
      </c>
      <c r="P15" s="15">
        <f>+N15/O15</f>
        <v>0.0023174157303370788</v>
      </c>
      <c r="R15" s="147">
        <f>VLOOKUP($B15&amp;"4",Data!$C:$G,2,FALSE)</f>
        <v>13</v>
      </c>
      <c r="S15" s="13">
        <f>VLOOKUP($B15&amp;"4",Data!$C:$G,4,FALSE)</f>
        <v>0.01054398148148148</v>
      </c>
      <c r="T15" s="14">
        <f>VLOOKUP($B15&amp;"4",Data!$C:$G,5,FALSE)</f>
        <v>4.5</v>
      </c>
      <c r="U15" s="15">
        <f>+S15/T15</f>
        <v>0.0023431069958847733</v>
      </c>
      <c r="W15" s="151">
        <f>SUM(E15,J15,O15,T15)</f>
        <v>16.15</v>
      </c>
      <c r="X15" s="15">
        <f>SUM(D15,I15,N15,S15)/W15</f>
        <v>0.0023312980162825364</v>
      </c>
      <c r="Z15" s="2">
        <f>RANK(X15,X11:X15,1)</f>
        <v>2</v>
      </c>
    </row>
    <row r="16" spans="1:24" ht="12.75">
      <c r="A16" s="6"/>
      <c r="B16" s="7"/>
      <c r="C16" s="6"/>
      <c r="D16" s="13"/>
      <c r="E16" s="14"/>
      <c r="F16" s="13"/>
      <c r="G16" s="7"/>
      <c r="H16" s="6"/>
      <c r="I16" s="13"/>
      <c r="J16" s="14"/>
      <c r="K16" s="13"/>
      <c r="L16" s="7"/>
      <c r="M16" s="6"/>
      <c r="N16" s="13"/>
      <c r="O16" s="14"/>
      <c r="P16" s="13"/>
      <c r="Q16" s="7"/>
      <c r="R16" s="6"/>
      <c r="S16" s="13"/>
      <c r="T16" s="14"/>
      <c r="U16" s="13"/>
      <c r="X16" s="13"/>
    </row>
    <row r="17" spans="1:24" ht="12.75">
      <c r="A17" s="6"/>
      <c r="B17" s="7"/>
      <c r="C17" s="6"/>
      <c r="D17" s="13"/>
      <c r="E17" s="14"/>
      <c r="F17" s="13"/>
      <c r="G17" s="7"/>
      <c r="H17" s="6"/>
      <c r="I17" s="13"/>
      <c r="J17" s="14"/>
      <c r="K17" s="13"/>
      <c r="L17" s="7"/>
      <c r="M17" s="6"/>
      <c r="N17" s="13"/>
      <c r="O17" s="14"/>
      <c r="P17" s="13"/>
      <c r="Q17" s="7"/>
      <c r="R17" s="6"/>
      <c r="S17" s="13"/>
      <c r="T17" s="14"/>
      <c r="U17" s="13"/>
      <c r="W17" s="28" t="s">
        <v>39</v>
      </c>
      <c r="X17" s="27" t="s">
        <v>40</v>
      </c>
    </row>
    <row r="18" spans="1:24" ht="12.75">
      <c r="A18" s="9" t="s">
        <v>30</v>
      </c>
      <c r="B18" s="8"/>
      <c r="C18" s="12" t="s">
        <v>11</v>
      </c>
      <c r="D18" s="19" t="s">
        <v>7</v>
      </c>
      <c r="E18" s="21" t="s">
        <v>32</v>
      </c>
      <c r="F18" s="19" t="s">
        <v>8</v>
      </c>
      <c r="H18" s="12" t="s">
        <v>11</v>
      </c>
      <c r="I18" s="19" t="s">
        <v>7</v>
      </c>
      <c r="J18" s="21" t="s">
        <v>32</v>
      </c>
      <c r="K18" s="19" t="s">
        <v>8</v>
      </c>
      <c r="M18" s="12" t="s">
        <v>11</v>
      </c>
      <c r="N18" s="19" t="s">
        <v>7</v>
      </c>
      <c r="O18" s="21" t="s">
        <v>32</v>
      </c>
      <c r="P18" s="19" t="s">
        <v>8</v>
      </c>
      <c r="R18" s="12" t="s">
        <v>11</v>
      </c>
      <c r="S18" s="19" t="s">
        <v>7</v>
      </c>
      <c r="T18" s="21" t="s">
        <v>32</v>
      </c>
      <c r="U18" s="19" t="s">
        <v>8</v>
      </c>
      <c r="W18" s="24" t="s">
        <v>38</v>
      </c>
      <c r="X18" s="23" t="s">
        <v>8</v>
      </c>
    </row>
    <row r="19" spans="1:26" ht="12.75">
      <c r="A19" s="4"/>
      <c r="B19" s="132" t="str">
        <f>+'Team Selection'!H3</f>
        <v>Anthony Mithen</v>
      </c>
      <c r="C19" s="143">
        <f>VLOOKUP($B19&amp;"1",Data!$C:$G,2,FALSE)</f>
        <v>3</v>
      </c>
      <c r="D19" s="144">
        <f>VLOOKUP($B19&amp;"1",Data!$C:$G,4,FALSE)</f>
        <v>0.009953703703703704</v>
      </c>
      <c r="E19" s="145">
        <f>VLOOKUP($B19&amp;"1",Data!$C:$G,5,FALSE)</f>
        <v>3.9</v>
      </c>
      <c r="F19" s="146">
        <f>+D19/E19</f>
        <v>0.0025522317188983856</v>
      </c>
      <c r="H19" s="143">
        <f>VLOOKUP($B19&amp;"2",Data!$C:$G,2,FALSE)</f>
        <v>7</v>
      </c>
      <c r="I19" s="144">
        <f>VLOOKUP($B19&amp;"2",Data!$C:$G,4,FALSE)</f>
        <v>0.008761574074074074</v>
      </c>
      <c r="J19" s="145">
        <f>VLOOKUP($B19&amp;"2",Data!$C:$G,5,FALSE)</f>
        <v>3.7</v>
      </c>
      <c r="K19" s="146">
        <f>+I19/J19</f>
        <v>0.002367992992992993</v>
      </c>
      <c r="M19" s="143" t="str">
        <f>VLOOKUP($B19&amp;"3",Data!$C:$G,2,FALSE)</f>
        <v>8 #1</v>
      </c>
      <c r="N19" s="144">
        <f>VLOOKUP($B19&amp;"3",Data!$C:$G,4,FALSE)</f>
        <v>0.007418981481481481</v>
      </c>
      <c r="O19" s="145">
        <f>VLOOKUP($B19&amp;"3",Data!$C:$G,5,FALSE)</f>
        <v>3</v>
      </c>
      <c r="P19" s="146">
        <f>+N19/O19</f>
        <v>0.002472993827160494</v>
      </c>
      <c r="R19" s="143">
        <f>VLOOKUP($B19&amp;"4",Data!$C:$G,2,FALSE)</f>
        <v>11</v>
      </c>
      <c r="S19" s="144">
        <f>VLOOKUP($B19&amp;"4",Data!$C:$G,4,FALSE)</f>
        <v>0.009305555555555555</v>
      </c>
      <c r="T19" s="145">
        <f>VLOOKUP($B19&amp;"4",Data!$C:$G,5,FALSE)</f>
        <v>4</v>
      </c>
      <c r="U19" s="146">
        <f>+S19/T19</f>
        <v>0.0023263888888888887</v>
      </c>
      <c r="W19" s="150">
        <f>SUM(E19,J19,O19,T19)</f>
        <v>14.6</v>
      </c>
      <c r="X19" s="146">
        <f>SUM(D19,I19,N19,S19)/W19</f>
        <v>0.002427384576357179</v>
      </c>
      <c r="Z19" s="2">
        <f>RANK(X19,X19:X23,1)</f>
        <v>1</v>
      </c>
    </row>
    <row r="20" spans="1:26" ht="12.75">
      <c r="A20" s="5"/>
      <c r="B20" s="132" t="str">
        <f>+'Team Selection'!H4</f>
        <v>Scott Lawrence</v>
      </c>
      <c r="C20" s="147">
        <f>VLOOKUP($B20&amp;"1",Data!$C:$G,2,FALSE)</f>
        <v>3</v>
      </c>
      <c r="D20" s="13">
        <f>VLOOKUP($B20&amp;"1",Data!$C:$G,4,FALSE)</f>
        <v>0.010335648148148148</v>
      </c>
      <c r="E20" s="14">
        <f>VLOOKUP($B20&amp;"1",Data!$C:$G,5,FALSE)</f>
        <v>3.9</v>
      </c>
      <c r="F20" s="15">
        <f>+D20/E20</f>
        <v>0.0026501661918328584</v>
      </c>
      <c r="H20" s="147">
        <f>VLOOKUP($B20&amp;"2",Data!$C:$G,2,FALSE)</f>
        <v>7</v>
      </c>
      <c r="I20" s="13">
        <f>VLOOKUP($B20&amp;"2",Data!$C:$G,4,FALSE)</f>
        <v>0.008888888888888889</v>
      </c>
      <c r="J20" s="14">
        <f>VLOOKUP($B20&amp;"2",Data!$C:$G,5,FALSE)</f>
        <v>3.7</v>
      </c>
      <c r="K20" s="15">
        <f>+I20/J20</f>
        <v>0.0024024024024024023</v>
      </c>
      <c r="M20" s="147">
        <f>VLOOKUP($B20&amp;"3",Data!$C:$G,2,FALSE)</f>
        <v>11</v>
      </c>
      <c r="N20" s="13">
        <f>VLOOKUP($B20&amp;"3",Data!$C:$G,4,FALSE)</f>
        <v>0.009305555555555555</v>
      </c>
      <c r="O20" s="14">
        <f>VLOOKUP($B20&amp;"3",Data!$C:$G,5,FALSE)</f>
        <v>4</v>
      </c>
      <c r="P20" s="15">
        <f>+N20/O20</f>
        <v>0.0023263888888888887</v>
      </c>
      <c r="R20" s="147">
        <f>VLOOKUP($B20&amp;"4",Data!$C:$G,2,FALSE)</f>
        <v>13</v>
      </c>
      <c r="S20" s="13">
        <f>VLOOKUP($B20&amp;"4",Data!$C:$G,4,FALSE)</f>
        <v>0.012118055555555556</v>
      </c>
      <c r="T20" s="14">
        <f>VLOOKUP($B20&amp;"4",Data!$C:$G,5,FALSE)</f>
        <v>4.5</v>
      </c>
      <c r="U20" s="15">
        <f>+S20/T20</f>
        <v>0.0026929012345679013</v>
      </c>
      <c r="W20" s="151">
        <f>SUM(E20,J20,O20,T20)</f>
        <v>16.1</v>
      </c>
      <c r="X20" s="15">
        <f>SUM(D20,I20,N20,S20)/W20</f>
        <v>0.002524729698642742</v>
      </c>
      <c r="Z20" s="2">
        <f>RANK(X20,X19:X23,1)</f>
        <v>5</v>
      </c>
    </row>
    <row r="21" spans="1:26" ht="12.75">
      <c r="A21" s="5"/>
      <c r="B21" s="132" t="str">
        <f>+'Team Selection'!H5</f>
        <v>Mike Bialczak</v>
      </c>
      <c r="C21" s="147">
        <f>VLOOKUP($B21&amp;"1",Data!$C:$G,2,FALSE)</f>
        <v>3</v>
      </c>
      <c r="D21" s="13">
        <f>VLOOKUP($B21&amp;"1",Data!$C:$G,4,FALSE)</f>
        <v>0.009768518518518518</v>
      </c>
      <c r="E21" s="14">
        <f>VLOOKUP($B21&amp;"1",Data!$C:$G,5,FALSE)</f>
        <v>3.9</v>
      </c>
      <c r="F21" s="15">
        <f>+D21/E21</f>
        <v>0.0025047483380816714</v>
      </c>
      <c r="H21" s="147">
        <f>VLOOKUP($B21&amp;"2",Data!$C:$G,2,FALSE)</f>
        <v>7</v>
      </c>
      <c r="I21" s="13">
        <f>VLOOKUP($B21&amp;"2",Data!$C:$G,4,FALSE)</f>
        <v>0.008773148148148148</v>
      </c>
      <c r="J21" s="14">
        <f>VLOOKUP($B21&amp;"2",Data!$C:$G,5,FALSE)</f>
        <v>3.7</v>
      </c>
      <c r="K21" s="15">
        <f>+I21/J21</f>
        <v>0.002371121121121121</v>
      </c>
      <c r="M21" s="147" t="str">
        <f>VLOOKUP($B21&amp;"3",Data!$C:$G,2,FALSE)</f>
        <v>8 #1</v>
      </c>
      <c r="N21" s="13">
        <f>VLOOKUP($B21&amp;"3",Data!$C:$G,4,FALSE)</f>
        <v>0.008113425925925925</v>
      </c>
      <c r="O21" s="14">
        <f>VLOOKUP($B21&amp;"3",Data!$C:$G,5,FALSE)</f>
        <v>3</v>
      </c>
      <c r="P21" s="15">
        <f>+N21/O21</f>
        <v>0.002704475308641975</v>
      </c>
      <c r="R21" s="147">
        <f>VLOOKUP($B21&amp;"4",Data!$C:$G,2,FALSE)</f>
        <v>11</v>
      </c>
      <c r="S21" s="13">
        <f>VLOOKUP($B21&amp;"4",Data!$C:$G,4,FALSE)</f>
        <v>0.009814814814814814</v>
      </c>
      <c r="T21" s="14">
        <f>VLOOKUP($B21&amp;"4",Data!$C:$G,5,FALSE)</f>
        <v>4</v>
      </c>
      <c r="U21" s="15">
        <f>+S21/T21</f>
        <v>0.0024537037037037036</v>
      </c>
      <c r="W21" s="151">
        <f>SUM(E21,J21,O21,T21)</f>
        <v>14.6</v>
      </c>
      <c r="X21" s="15">
        <f>SUM(D21,I21,N21,S21)/W21</f>
        <v>0.0024979388635210553</v>
      </c>
      <c r="Z21" s="2">
        <f>RANK(X21,X19:X23,1)</f>
        <v>2</v>
      </c>
    </row>
    <row r="22" spans="1:26" ht="12.75">
      <c r="A22" s="5"/>
      <c r="B22" s="132" t="str">
        <f>+'Team Selection'!H6</f>
        <v>Paul Marsh</v>
      </c>
      <c r="C22" s="147">
        <f>VLOOKUP($B22&amp;"1",Data!$C:$G,2,FALSE)</f>
        <v>3</v>
      </c>
      <c r="D22" s="13">
        <f>VLOOKUP($B22&amp;"1",Data!$C:$G,4,FALSE)</f>
        <v>0.010358796296296295</v>
      </c>
      <c r="E22" s="14">
        <f>VLOOKUP($B22&amp;"1",Data!$C:$G,5,FALSE)</f>
        <v>3.9</v>
      </c>
      <c r="F22" s="15">
        <f>+D22/E22</f>
        <v>0.0026561016144349475</v>
      </c>
      <c r="H22" s="147">
        <f>VLOOKUP($B22&amp;"2",Data!$C:$G,2,FALSE)</f>
        <v>7</v>
      </c>
      <c r="I22" s="13">
        <f>VLOOKUP($B22&amp;"2",Data!$C:$G,4,FALSE)</f>
        <v>0.009097222222222222</v>
      </c>
      <c r="J22" s="14">
        <f>VLOOKUP($B22&amp;"2",Data!$C:$G,5,FALSE)</f>
        <v>3.7</v>
      </c>
      <c r="K22" s="15">
        <f>+I22/J22</f>
        <v>0.0024587087087087085</v>
      </c>
      <c r="M22" s="147" t="str">
        <f>VLOOKUP($B22&amp;"3",Data!$C:$G,2,FALSE)</f>
        <v>8 #1</v>
      </c>
      <c r="N22" s="13">
        <f>VLOOKUP($B22&amp;"3",Data!$C:$G,4,FALSE)</f>
        <v>0.007604166666666666</v>
      </c>
      <c r="O22" s="14">
        <f>VLOOKUP($B22&amp;"3",Data!$C:$G,5,FALSE)</f>
        <v>3</v>
      </c>
      <c r="P22" s="15">
        <f>+N22/O22</f>
        <v>0.002534722222222222</v>
      </c>
      <c r="R22" s="147">
        <f>VLOOKUP($B22&amp;"4",Data!$C:$G,2,FALSE)</f>
        <v>11</v>
      </c>
      <c r="S22" s="13">
        <f>VLOOKUP($B22&amp;"4",Data!$C:$G,4,FALSE)</f>
        <v>0.009641203703703704</v>
      </c>
      <c r="T22" s="14">
        <f>VLOOKUP($B22&amp;"4",Data!$C:$G,5,FALSE)</f>
        <v>4</v>
      </c>
      <c r="U22" s="15">
        <f>+S22/T22</f>
        <v>0.002410300925925926</v>
      </c>
      <c r="W22" s="151">
        <f>SUM(E22,J22,O22,T22)</f>
        <v>14.6</v>
      </c>
      <c r="X22" s="15">
        <f>SUM(D22,I22,N22,S22)/W22</f>
        <v>0.0025137937595129376</v>
      </c>
      <c r="Z22" s="2">
        <f>RANK(X22,X19:X23,1)</f>
        <v>3</v>
      </c>
    </row>
    <row r="23" spans="1:26" ht="12.75">
      <c r="A23" s="5"/>
      <c r="B23" s="132" t="str">
        <f>+'Team Selection'!H7</f>
        <v>Mark Purvis</v>
      </c>
      <c r="C23" s="147">
        <f>VLOOKUP($B23&amp;"1",Data!$C:$G,2,FALSE)</f>
        <v>3</v>
      </c>
      <c r="D23" s="13">
        <f>VLOOKUP($B23&amp;"1",Data!$C:$G,4,FALSE)</f>
        <v>0.010335648148148148</v>
      </c>
      <c r="E23" s="14">
        <f>VLOOKUP($B23&amp;"1",Data!$C:$G,5,FALSE)</f>
        <v>3.9</v>
      </c>
      <c r="F23" s="15">
        <f>+D23/E23</f>
        <v>0.0026501661918328584</v>
      </c>
      <c r="H23" s="147">
        <f>VLOOKUP($B23&amp;"2",Data!$C:$G,2,FALSE)</f>
        <v>7</v>
      </c>
      <c r="I23" s="13">
        <f>VLOOKUP($B23&amp;"2",Data!$C:$G,4,FALSE)</f>
        <v>0.009351851851851853</v>
      </c>
      <c r="J23" s="14">
        <f>VLOOKUP($B23&amp;"2",Data!$C:$G,5,FALSE)</f>
        <v>3.7</v>
      </c>
      <c r="K23" s="15">
        <f>+I23/J23</f>
        <v>0.0025275275275275276</v>
      </c>
      <c r="M23" s="147" t="str">
        <f>VLOOKUP($B23&amp;"3",Data!$C:$G,2,FALSE)</f>
        <v>8 #1</v>
      </c>
      <c r="N23" s="13">
        <f>VLOOKUP($B23&amp;"3",Data!$C:$G,4,FALSE)</f>
        <v>0.0075</v>
      </c>
      <c r="O23" s="14">
        <f>VLOOKUP($B23&amp;"3",Data!$C:$G,5,FALSE)</f>
        <v>3</v>
      </c>
      <c r="P23" s="15">
        <f>+N23/O23</f>
        <v>0.0025</v>
      </c>
      <c r="R23" s="147">
        <f>VLOOKUP($B23&amp;"4",Data!$C:$G,2,FALSE)</f>
        <v>11</v>
      </c>
      <c r="S23" s="13">
        <f>VLOOKUP($B23&amp;"4",Data!$C:$G,4,FALSE)</f>
        <v>0.009525462962962963</v>
      </c>
      <c r="T23" s="14">
        <f>VLOOKUP($B23&amp;"4",Data!$C:$G,5,FALSE)</f>
        <v>4</v>
      </c>
      <c r="U23" s="15">
        <f>+S23/T23</f>
        <v>0.0023813657407407408</v>
      </c>
      <c r="W23" s="151">
        <f>SUM(E23,J23,O23,T23)</f>
        <v>14.6</v>
      </c>
      <c r="X23" s="15">
        <f>SUM(D23,I23,N23,S23)/W23</f>
        <v>0.0025145865043125315</v>
      </c>
      <c r="Z23" s="2">
        <f>RANK(X23,X19:X23,1)</f>
        <v>4</v>
      </c>
    </row>
    <row r="24" spans="1:24" ht="12.75">
      <c r="A24" s="6"/>
      <c r="B24" s="7"/>
      <c r="C24" s="6"/>
      <c r="D24" s="13"/>
      <c r="E24" s="14"/>
      <c r="F24" s="13"/>
      <c r="G24" s="7"/>
      <c r="H24" s="6"/>
      <c r="I24" s="13"/>
      <c r="J24" s="14"/>
      <c r="K24" s="13"/>
      <c r="L24" s="7"/>
      <c r="M24" s="6"/>
      <c r="N24" s="13"/>
      <c r="O24" s="14"/>
      <c r="P24" s="13"/>
      <c r="Q24" s="7"/>
      <c r="R24" s="6"/>
      <c r="S24" s="13"/>
      <c r="T24" s="14"/>
      <c r="U24" s="13"/>
      <c r="V24" s="7"/>
      <c r="X24" s="13"/>
    </row>
    <row r="25" spans="1:24" ht="12.75">
      <c r="A25" s="6"/>
      <c r="B25" s="7"/>
      <c r="C25" s="6"/>
      <c r="D25" s="13"/>
      <c r="E25" s="14"/>
      <c r="F25" s="13"/>
      <c r="G25" s="7"/>
      <c r="H25" s="6"/>
      <c r="I25" s="13"/>
      <c r="J25" s="14"/>
      <c r="K25" s="13"/>
      <c r="L25" s="7"/>
      <c r="M25" s="6"/>
      <c r="N25" s="13"/>
      <c r="O25" s="14"/>
      <c r="P25" s="13"/>
      <c r="Q25" s="7"/>
      <c r="R25" s="6"/>
      <c r="S25" s="13"/>
      <c r="T25" s="14"/>
      <c r="U25" s="13"/>
      <c r="V25" s="7"/>
      <c r="W25" s="28" t="s">
        <v>39</v>
      </c>
      <c r="X25" s="27" t="s">
        <v>40</v>
      </c>
    </row>
    <row r="26" spans="1:24" ht="12.75">
      <c r="A26" s="9"/>
      <c r="B26" s="133" t="s">
        <v>31</v>
      </c>
      <c r="C26" s="12" t="s">
        <v>11</v>
      </c>
      <c r="D26" s="19" t="s">
        <v>7</v>
      </c>
      <c r="E26" s="21" t="s">
        <v>32</v>
      </c>
      <c r="F26" s="19" t="s">
        <v>8</v>
      </c>
      <c r="H26" s="12" t="s">
        <v>11</v>
      </c>
      <c r="I26" s="19" t="s">
        <v>7</v>
      </c>
      <c r="J26" s="21" t="s">
        <v>32</v>
      </c>
      <c r="K26" s="19" t="s">
        <v>8</v>
      </c>
      <c r="M26" s="12" t="s">
        <v>11</v>
      </c>
      <c r="N26" s="19" t="s">
        <v>7</v>
      </c>
      <c r="O26" s="21" t="s">
        <v>32</v>
      </c>
      <c r="P26" s="19" t="s">
        <v>8</v>
      </c>
      <c r="R26" s="12" t="s">
        <v>11</v>
      </c>
      <c r="S26" s="19" t="s">
        <v>7</v>
      </c>
      <c r="T26" s="21" t="s">
        <v>32</v>
      </c>
      <c r="U26" s="19" t="s">
        <v>8</v>
      </c>
      <c r="W26" s="24" t="s">
        <v>38</v>
      </c>
      <c r="X26" s="23" t="s">
        <v>8</v>
      </c>
    </row>
    <row r="27" spans="1:26" ht="12.75">
      <c r="A27" s="4"/>
      <c r="B27" s="132" t="str">
        <f>+'Team Selection'!J3</f>
        <v>Dale Nardella</v>
      </c>
      <c r="C27" s="143">
        <f>VLOOKUP($B27&amp;"1",Data!$C:$G,2,FALSE)</f>
        <v>2</v>
      </c>
      <c r="D27" s="144">
        <f>VLOOKUP($B27&amp;"1",Data!$C:$G,4,FALSE)</f>
        <v>0.010439814814814813</v>
      </c>
      <c r="E27" s="145">
        <f>VLOOKUP($B27&amp;"1",Data!$C:$G,5,FALSE)</f>
        <v>3.6</v>
      </c>
      <c r="F27" s="146">
        <f>+D27/E27</f>
        <v>0.0028999485596707814</v>
      </c>
      <c r="H27" s="143">
        <f>VLOOKUP($B27&amp;"2",Data!$C:$G,2,FALSE)</f>
        <v>6</v>
      </c>
      <c r="I27" s="144">
        <f>VLOOKUP($B27&amp;"2",Data!$C:$G,4,FALSE)</f>
        <v>0.00951388888888889</v>
      </c>
      <c r="J27" s="145">
        <f>VLOOKUP($B27&amp;"2",Data!$C:$G,5,FALSE)</f>
        <v>3.25</v>
      </c>
      <c r="K27" s="146">
        <f>+I27/J27</f>
        <v>0.0029273504273504276</v>
      </c>
      <c r="M27" s="143" t="str">
        <f>VLOOKUP($B27&amp;"3",Data!$C:$G,2,FALSE)</f>
        <v>8 #2</v>
      </c>
      <c r="N27" s="144">
        <f>VLOOKUP($B27&amp;"3",Data!$C:$G,4,FALSE)</f>
        <v>0.00900462962962963</v>
      </c>
      <c r="O27" s="145">
        <f>VLOOKUP($B27&amp;"3",Data!$C:$G,5,FALSE)</f>
        <v>3</v>
      </c>
      <c r="P27" s="146">
        <f>+N27/O27</f>
        <v>0.0030015432098765434</v>
      </c>
      <c r="R27" s="143">
        <f>VLOOKUP($B27&amp;"4",Data!$C:$G,2,FALSE)</f>
        <v>14</v>
      </c>
      <c r="S27" s="144">
        <f>VLOOKUP($B27&amp;"4",Data!$C:$G,4,FALSE)</f>
        <v>0.010138888888888888</v>
      </c>
      <c r="T27" s="145">
        <f>VLOOKUP($B27&amp;"4",Data!$C:$G,5,FALSE)</f>
        <v>3.7</v>
      </c>
      <c r="U27" s="146">
        <f>+S27/T27</f>
        <v>0.00274024024024024</v>
      </c>
      <c r="W27" s="150">
        <f>SUM(E27,J27,O27,T27)</f>
        <v>13.55</v>
      </c>
      <c r="X27" s="146">
        <f>SUM(D27,I27,N27,S27)/W27</f>
        <v>0.0028854038540385403</v>
      </c>
      <c r="Z27" s="2">
        <f>RANK(X27,X27:X31,1)</f>
        <v>4</v>
      </c>
    </row>
    <row r="28" spans="1:26" ht="12.75">
      <c r="A28" s="5"/>
      <c r="B28" s="132" t="str">
        <f>+'Team Selection'!J4</f>
        <v>Gary O'Dwyer</v>
      </c>
      <c r="C28" s="147">
        <f>VLOOKUP($B28&amp;"1",Data!$C:$G,2,FALSE)</f>
        <v>2</v>
      </c>
      <c r="D28" s="13">
        <f>VLOOKUP($B28&amp;"1",Data!$C:$G,4,FALSE)</f>
        <v>0.011006944444444444</v>
      </c>
      <c r="E28" s="14">
        <f>VLOOKUP($B28&amp;"1",Data!$C:$G,5,FALSE)</f>
        <v>3.6</v>
      </c>
      <c r="F28" s="15">
        <f>+D28/E28</f>
        <v>0.0030574845679012344</v>
      </c>
      <c r="H28" s="147">
        <f>VLOOKUP($B28&amp;"2",Data!$C:$G,2,FALSE)</f>
        <v>6</v>
      </c>
      <c r="I28" s="13">
        <f>VLOOKUP($B28&amp;"2",Data!$C:$G,4,FALSE)</f>
        <v>0.009907407407407408</v>
      </c>
      <c r="J28" s="14">
        <f>VLOOKUP($B28&amp;"2",Data!$C:$G,5,FALSE)</f>
        <v>3.25</v>
      </c>
      <c r="K28" s="15">
        <f>+I28/J28</f>
        <v>0.0030484330484330485</v>
      </c>
      <c r="M28" s="147">
        <f>VLOOKUP($B28&amp;"3",Data!$C:$G,2,FALSE)</f>
        <v>10</v>
      </c>
      <c r="N28" s="13">
        <f>VLOOKUP($B28&amp;"3",Data!$C:$G,4,FALSE)</f>
        <v>0.013125</v>
      </c>
      <c r="O28" s="14">
        <f>VLOOKUP($B28&amp;"3",Data!$C:$G,5,FALSE)</f>
        <v>4.45</v>
      </c>
      <c r="P28" s="15">
        <f>+N28/O28</f>
        <v>0.0029494382022471908</v>
      </c>
      <c r="R28" s="147">
        <f>VLOOKUP($B28&amp;"4",Data!$C:$G,2,FALSE)</f>
        <v>14</v>
      </c>
      <c r="S28" s="13">
        <f>VLOOKUP($B28&amp;"4",Data!$C:$G,4,FALSE)</f>
        <v>0.010983796296296297</v>
      </c>
      <c r="T28" s="14">
        <f>VLOOKUP($B28&amp;"4",Data!$C:$G,5,FALSE)</f>
        <v>3.7</v>
      </c>
      <c r="U28" s="15">
        <f>+S28/T28</f>
        <v>0.002968593593593594</v>
      </c>
      <c r="W28" s="151">
        <f>SUM(E28,J28,O28,T28)</f>
        <v>15</v>
      </c>
      <c r="X28" s="15">
        <f>SUM(D28,I28,N28,S28)/W28</f>
        <v>0.003001543209876543</v>
      </c>
      <c r="Z28" s="2">
        <f>RANK(X28,X27:X31,1)</f>
        <v>5</v>
      </c>
    </row>
    <row r="29" spans="1:26" ht="12.75">
      <c r="A29" s="5"/>
      <c r="B29" s="132" t="str">
        <f>+'Team Selection'!J5</f>
        <v>Craig Harris</v>
      </c>
      <c r="C29" s="147">
        <f>VLOOKUP($B29&amp;"1",Data!$C:$G,2,FALSE)</f>
        <v>2</v>
      </c>
      <c r="D29" s="13">
        <f>VLOOKUP($B29&amp;"1",Data!$C:$G,4,FALSE)</f>
        <v>0.009780092592592592</v>
      </c>
      <c r="E29" s="14">
        <f>VLOOKUP($B29&amp;"1",Data!$C:$G,5,FALSE)</f>
        <v>3.6</v>
      </c>
      <c r="F29" s="15">
        <f>+D29/E29</f>
        <v>0.0027166923868312755</v>
      </c>
      <c r="H29" s="147">
        <f>VLOOKUP($B29&amp;"2",Data!$C:$G,2,FALSE)</f>
        <v>6</v>
      </c>
      <c r="I29" s="13">
        <f>VLOOKUP($B29&amp;"2",Data!$C:$G,4,FALSE)</f>
        <v>0.008865740740740742</v>
      </c>
      <c r="J29" s="14">
        <f>VLOOKUP($B29&amp;"2",Data!$C:$G,5,FALSE)</f>
        <v>3.25</v>
      </c>
      <c r="K29" s="15">
        <f>+I29/J29</f>
        <v>0.0027279202279202283</v>
      </c>
      <c r="M29" s="147" t="str">
        <f>VLOOKUP($B29&amp;"3",Data!$C:$G,2,FALSE)</f>
        <v>8 #2</v>
      </c>
      <c r="N29" s="13">
        <f>VLOOKUP($B29&amp;"3",Data!$C:$G,4,FALSE)</f>
        <v>0.008229166666666666</v>
      </c>
      <c r="O29" s="14">
        <f>VLOOKUP($B29&amp;"3",Data!$C:$G,5,FALSE)</f>
        <v>3</v>
      </c>
      <c r="P29" s="15">
        <f>+N29/O29</f>
        <v>0.0027430555555555554</v>
      </c>
      <c r="R29" s="147">
        <f>VLOOKUP($B29&amp;"4",Data!$C:$G,2,FALSE)</f>
        <v>14</v>
      </c>
      <c r="S29" s="13">
        <f>VLOOKUP($B29&amp;"4",Data!$C:$G,4,FALSE)</f>
        <v>0.00949074074074074</v>
      </c>
      <c r="T29" s="14">
        <f>VLOOKUP($B29&amp;"4",Data!$C:$G,5,FALSE)</f>
        <v>3.7</v>
      </c>
      <c r="U29" s="15">
        <f>+S29/T29</f>
        <v>0.002565065065065065</v>
      </c>
      <c r="W29" s="151">
        <f>SUM(E29,J29,O29,T29)</f>
        <v>13.55</v>
      </c>
      <c r="X29" s="15">
        <f>SUM(D29,I29,N29,S29)/W29</f>
        <v>0.002683818504851715</v>
      </c>
      <c r="Z29" s="2">
        <f>RANK(X29,X27:X31,1)</f>
        <v>3</v>
      </c>
    </row>
    <row r="30" spans="1:26" ht="12.75">
      <c r="A30" s="5"/>
      <c r="B30" s="132" t="str">
        <f>+'Team Selection'!J6</f>
        <v>Matt Sandilands</v>
      </c>
      <c r="C30" s="147">
        <f>VLOOKUP($B30&amp;"1",Data!$C:$G,2,FALSE)</f>
        <v>2</v>
      </c>
      <c r="D30" s="13">
        <f>VLOOKUP($B30&amp;"1",Data!$C:$G,4,FALSE)</f>
        <v>0.009293981481481481</v>
      </c>
      <c r="E30" s="14">
        <f>VLOOKUP($B30&amp;"1",Data!$C:$G,5,FALSE)</f>
        <v>3.6</v>
      </c>
      <c r="F30" s="15">
        <f>+D30/E30</f>
        <v>0.0025816615226337447</v>
      </c>
      <c r="H30" s="147">
        <f>VLOOKUP($B30&amp;"2",Data!$C:$G,2,FALSE)</f>
        <v>6</v>
      </c>
      <c r="I30" s="13">
        <f>VLOOKUP($B30&amp;"2",Data!$C:$G,4,FALSE)</f>
        <v>0.008692129629629631</v>
      </c>
      <c r="J30" s="14">
        <f>VLOOKUP($B30&amp;"2",Data!$C:$G,5,FALSE)</f>
        <v>3.25</v>
      </c>
      <c r="K30" s="15">
        <f>+I30/J30</f>
        <v>0.002674501424501425</v>
      </c>
      <c r="M30" s="147" t="str">
        <f>VLOOKUP($B30&amp;"3",Data!$C:$G,2,FALSE)</f>
        <v>8 #2</v>
      </c>
      <c r="N30" s="13">
        <f>VLOOKUP($B30&amp;"3",Data!$C:$G,4,FALSE)</f>
        <v>0.007962962962962963</v>
      </c>
      <c r="O30" s="14">
        <f>VLOOKUP($B30&amp;"3",Data!$C:$G,5,FALSE)</f>
        <v>3</v>
      </c>
      <c r="P30" s="15">
        <f>+N30/O30</f>
        <v>0.002654320987654321</v>
      </c>
      <c r="R30" s="147">
        <f>VLOOKUP($B30&amp;"4",Data!$C:$G,2,FALSE)</f>
        <v>14</v>
      </c>
      <c r="S30" s="13">
        <f>VLOOKUP($B30&amp;"4",Data!$C:$G,4,FALSE)</f>
        <v>0.009039351851851852</v>
      </c>
      <c r="T30" s="14">
        <f>VLOOKUP($B30&amp;"4",Data!$C:$G,5,FALSE)</f>
        <v>3.7</v>
      </c>
      <c r="U30" s="15">
        <f>+S30/T30</f>
        <v>0.002443068068068068</v>
      </c>
      <c r="W30" s="151">
        <f>SUM(E30,J30,O30,T30)</f>
        <v>13.55</v>
      </c>
      <c r="X30" s="15">
        <f>SUM(D30,I30,N30,S30)/W30</f>
        <v>0.002582171655049884</v>
      </c>
      <c r="Z30" s="2">
        <f>RANK(X30,X27:X31,1)</f>
        <v>2</v>
      </c>
    </row>
    <row r="31" spans="1:26" ht="12.75">
      <c r="A31" s="5"/>
      <c r="B31" s="132" t="str">
        <f>+'Team Selection'!J7</f>
        <v>Glenn Goodman</v>
      </c>
      <c r="C31" s="147">
        <f>VLOOKUP($B31&amp;"1",Data!$C:$G,2,FALSE)</f>
        <v>2</v>
      </c>
      <c r="D31" s="13">
        <f>VLOOKUP($B31&amp;"1",Data!$C:$G,4,FALSE)</f>
        <v>0.009305555555555555</v>
      </c>
      <c r="E31" s="14">
        <f>VLOOKUP($B31&amp;"1",Data!$C:$G,5,FALSE)</f>
        <v>3.6</v>
      </c>
      <c r="F31" s="15">
        <f>+D31/E31</f>
        <v>0.0025848765432098762</v>
      </c>
      <c r="H31" s="147">
        <f>VLOOKUP($B31&amp;"2",Data!$C:$G,2,FALSE)</f>
        <v>6</v>
      </c>
      <c r="I31" s="13">
        <f>VLOOKUP($B31&amp;"2",Data!$C:$G,4,FALSE)</f>
        <v>0.008518518518518519</v>
      </c>
      <c r="J31" s="14">
        <f>VLOOKUP($B31&amp;"2",Data!$C:$G,5,FALSE)</f>
        <v>3.25</v>
      </c>
      <c r="K31" s="15">
        <f>+I31/J31</f>
        <v>0.0026210826210826214</v>
      </c>
      <c r="M31" s="147" t="str">
        <f>VLOOKUP($B31&amp;"3",Data!$C:$G,2,FALSE)</f>
        <v>8 #2</v>
      </c>
      <c r="N31" s="13">
        <f>VLOOKUP($B31&amp;"3",Data!$C:$G,4,FALSE)</f>
        <v>0.007743055555555556</v>
      </c>
      <c r="O31" s="14">
        <f>VLOOKUP($B31&amp;"3",Data!$C:$G,5,FALSE)</f>
        <v>3</v>
      </c>
      <c r="P31" s="15">
        <f>+N31/O31</f>
        <v>0.0025810185185185185</v>
      </c>
      <c r="R31" s="147">
        <f>VLOOKUP($B31&amp;"4",Data!$C:$G,2,FALSE)</f>
        <v>14</v>
      </c>
      <c r="S31" s="13">
        <f>VLOOKUP($B31&amp;"4",Data!$C:$G,4,FALSE)</f>
        <v>0.008900462962962962</v>
      </c>
      <c r="T31" s="14">
        <f>VLOOKUP($B31&amp;"4",Data!$C:$G,5,FALSE)</f>
        <v>3.7</v>
      </c>
      <c r="U31" s="15">
        <f>+S31/T31</f>
        <v>0.0024055305305305304</v>
      </c>
      <c r="W31" s="151">
        <f>SUM(E31,J31,O31,T31)</f>
        <v>13.55</v>
      </c>
      <c r="X31" s="15">
        <f>SUM(D31,I31,N31,S31)/W31</f>
        <v>0.00254373377067104</v>
      </c>
      <c r="Z31" s="2">
        <f>RANK(X31,X27:X31,1)</f>
        <v>1</v>
      </c>
    </row>
    <row r="32" spans="3:24" ht="12.75">
      <c r="C32" s="6"/>
      <c r="D32" s="13"/>
      <c r="E32" s="14"/>
      <c r="F32" s="13"/>
      <c r="G32" s="7"/>
      <c r="H32" s="6"/>
      <c r="I32" s="13"/>
      <c r="J32" s="14"/>
      <c r="K32" s="13"/>
      <c r="L32" s="7"/>
      <c r="M32" s="6"/>
      <c r="N32" s="13"/>
      <c r="O32" s="14"/>
      <c r="P32" s="13"/>
      <c r="Q32" s="7"/>
      <c r="R32" s="6"/>
      <c r="S32" s="13"/>
      <c r="T32" s="14"/>
      <c r="U32" s="13"/>
      <c r="X32" s="13"/>
    </row>
    <row r="33" spans="2:24" ht="12.75">
      <c r="B33" s="7"/>
      <c r="C33" s="6"/>
      <c r="D33" s="13"/>
      <c r="E33" s="14"/>
      <c r="F33" s="13"/>
      <c r="G33" s="7"/>
      <c r="H33" s="6"/>
      <c r="I33" s="13"/>
      <c r="J33" s="14"/>
      <c r="K33" s="13"/>
      <c r="L33" s="7"/>
      <c r="M33" s="6"/>
      <c r="N33" s="13"/>
      <c r="O33" s="14"/>
      <c r="P33" s="13"/>
      <c r="Q33" s="7"/>
      <c r="R33" s="6"/>
      <c r="S33" s="13"/>
      <c r="T33" s="14"/>
      <c r="U33" s="13"/>
      <c r="V33" s="7"/>
      <c r="W33" s="28" t="s">
        <v>39</v>
      </c>
      <c r="X33" s="27" t="s">
        <v>40</v>
      </c>
    </row>
    <row r="34" spans="2:24" ht="12.75">
      <c r="B34" s="133" t="s">
        <v>89</v>
      </c>
      <c r="C34" s="12" t="s">
        <v>11</v>
      </c>
      <c r="D34" s="19" t="s">
        <v>7</v>
      </c>
      <c r="E34" s="21" t="s">
        <v>32</v>
      </c>
      <c r="F34" s="19" t="s">
        <v>8</v>
      </c>
      <c r="H34" s="12" t="s">
        <v>11</v>
      </c>
      <c r="I34" s="19" t="s">
        <v>7</v>
      </c>
      <c r="J34" s="21" t="s">
        <v>32</v>
      </c>
      <c r="K34" s="19" t="s">
        <v>8</v>
      </c>
      <c r="M34" s="12" t="s">
        <v>11</v>
      </c>
      <c r="N34" s="19" t="s">
        <v>7</v>
      </c>
      <c r="O34" s="21" t="s">
        <v>32</v>
      </c>
      <c r="P34" s="19" t="s">
        <v>8</v>
      </c>
      <c r="R34" s="12" t="s">
        <v>11</v>
      </c>
      <c r="S34" s="19" t="s">
        <v>7</v>
      </c>
      <c r="T34" s="21" t="s">
        <v>32</v>
      </c>
      <c r="U34" s="19" t="s">
        <v>8</v>
      </c>
      <c r="W34" s="24" t="s">
        <v>38</v>
      </c>
      <c r="X34" s="23" t="s">
        <v>8</v>
      </c>
    </row>
    <row r="35" spans="2:26" ht="12.75">
      <c r="B35" s="132" t="s">
        <v>84</v>
      </c>
      <c r="C35" s="143">
        <f>VLOOKUP($B35&amp;"1",Data!$C:$G,2,FALSE)</f>
        <v>5</v>
      </c>
      <c r="D35" s="144">
        <f>IF(ISNA(VLOOKUP($B35&amp;"1",Data!$C:$G,4,FALSE)),"NA",VLOOKUP($B35&amp;"1",Data!$C:$G,4,FALSE))</f>
        <v>0.010138888888888888</v>
      </c>
      <c r="E35" s="145">
        <f>IF(ISNA(VLOOKUP($B35&amp;"1",Data!$C:$G,5,FALSE)),"NA",VLOOKUP($B35&amp;"1",Data!$C:$G,5,FALSE))</f>
        <v>4.7</v>
      </c>
      <c r="F35" s="146">
        <f>+D35/E35</f>
        <v>0.0021572104018912526</v>
      </c>
      <c r="H35" s="143" t="str">
        <f>VLOOKUP($B35&amp;"2",Data!$C:$G,2,FALSE)</f>
        <v>8 #1</v>
      </c>
      <c r="I35" s="144">
        <f>IF(ISNA(VLOOKUP($B35&amp;"2",Data!$C:$G,4,FALSE)),"NA",VLOOKUP($B35&amp;"2",Data!$C:$G,4,FALSE))</f>
        <v>0.007627314814814815</v>
      </c>
      <c r="J35" s="145">
        <f>IF(ISNA(VLOOKUP($B35&amp;"2",Data!$C:$G,5,FALSE)),"NA",VLOOKUP($B35&amp;"2",Data!$C:$G,5,FALSE))</f>
        <v>3</v>
      </c>
      <c r="K35" s="146">
        <f>+I35/J35</f>
        <v>0.0025424382716049384</v>
      </c>
      <c r="M35" s="143" t="str">
        <f>VLOOKUP($B35&amp;"3",Data!$C:$G,2,FALSE)</f>
        <v>8 #2</v>
      </c>
      <c r="N35" s="144">
        <f>IF(ISNA(VLOOKUP($B35&amp;"3",Data!$C:$G,4,FALSE)),"NA",VLOOKUP($B35&amp;"3",Data!$C:$G,4,FALSE))</f>
        <v>0.008229166666666666</v>
      </c>
      <c r="O35" s="145">
        <f>IF(ISNA(VLOOKUP($B35&amp;"3",Data!$C:$G,5,FALSE)),"NA",VLOOKUP($B35&amp;"3",Data!$C:$G,5,FALSE))</f>
        <v>3</v>
      </c>
      <c r="P35" s="146">
        <f>+N35/O35</f>
        <v>0.0027430555555555554</v>
      </c>
      <c r="R35" s="143" t="e">
        <f>VLOOKUP($B35&amp;"4",Data!$C:$G,2,FALSE)</f>
        <v>#N/A</v>
      </c>
      <c r="S35" s="144" t="str">
        <f>IF(ISNA(VLOOKUP($B35&amp;"4",Data!$C:$G,4,FALSE)),"NA",VLOOKUP($B35&amp;"4",Data!$C:$G,4,FALSE))</f>
        <v>NA</v>
      </c>
      <c r="T35" s="145" t="str">
        <f>IF(ISNA(VLOOKUP($B35&amp;"4",Data!$C:$G,5,FALSE)),"NA",VLOOKUP($B35&amp;"4",Data!$C:$G,5,FALSE))</f>
        <v>NA</v>
      </c>
      <c r="U35" s="146" t="e">
        <f>+S35/T35</f>
        <v>#VALUE!</v>
      </c>
      <c r="W35" s="150">
        <f>SUM(E35,J35,O35,T35)</f>
        <v>10.7</v>
      </c>
      <c r="X35" s="146">
        <f>SUM(D35,I35,N35,S35)/W35</f>
        <v>0.0024294738663897543</v>
      </c>
      <c r="Z35" s="2">
        <f>RANK(X35,X35:X39,1)</f>
        <v>1</v>
      </c>
    </row>
  </sheetData>
  <printOptions/>
  <pageMargins left="0.44" right="0.59" top="1.0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1">
      <selection activeCell="A93" sqref="A93"/>
    </sheetView>
  </sheetViews>
  <sheetFormatPr defaultColWidth="9.140625" defaultRowHeight="12.75"/>
  <cols>
    <col min="1" max="1" width="14.00390625" style="16" customWidth="1"/>
    <col min="2" max="2" width="9.140625" style="16" customWidth="1"/>
    <col min="3" max="3" width="20.00390625" style="16" customWidth="1"/>
    <col min="4" max="4" width="9.140625" style="16" customWidth="1"/>
    <col min="5" max="5" width="20.7109375" style="0" customWidth="1"/>
  </cols>
  <sheetData>
    <row r="1" spans="1:7" ht="12.75">
      <c r="A1" s="16" t="s">
        <v>59</v>
      </c>
      <c r="B1" s="16" t="s">
        <v>0</v>
      </c>
      <c r="D1" s="16" t="s">
        <v>11</v>
      </c>
      <c r="E1" s="16" t="s">
        <v>37</v>
      </c>
      <c r="F1" s="16" t="s">
        <v>7</v>
      </c>
      <c r="G1" s="16" t="s">
        <v>38</v>
      </c>
    </row>
    <row r="2" spans="1:7" ht="12.75">
      <c r="A2" s="16">
        <f>COUNTIF(E$2:E2,E2)</f>
        <v>1</v>
      </c>
      <c r="B2" s="16">
        <v>1</v>
      </c>
      <c r="C2" s="16" t="str">
        <f>E2&amp;A2</f>
        <v>Stephen Paine1</v>
      </c>
      <c r="D2" s="16" t="s">
        <v>49</v>
      </c>
      <c r="E2" t="str">
        <f>+'Stage  Entry'!H4</f>
        <v>Stephen Paine</v>
      </c>
      <c r="F2" s="134">
        <f>+'Stage  Entry'!I4</f>
        <v>0.006701388888888889</v>
      </c>
      <c r="G2" s="17">
        <f aca="true" t="shared" si="0" ref="G2:G11">+Dist1</f>
        <v>3</v>
      </c>
    </row>
    <row r="3" spans="1:7" ht="12.75">
      <c r="A3" s="16">
        <f>COUNTIF(E$2:E3,E3)</f>
        <v>1</v>
      </c>
      <c r="B3" s="16">
        <v>2</v>
      </c>
      <c r="C3" s="16" t="str">
        <f aca="true" t="shared" si="1" ref="C3:C48">E3&amp;A3</f>
        <v>Patrick O'Keefe1</v>
      </c>
      <c r="D3" s="16" t="s">
        <v>49</v>
      </c>
      <c r="E3" t="str">
        <f>+'Stage  Entry'!H5</f>
        <v>Patrick O'Keefe</v>
      </c>
      <c r="F3" s="134">
        <f>+'Stage  Entry'!I5</f>
        <v>0.007222222222222223</v>
      </c>
      <c r="G3" s="17">
        <f t="shared" si="0"/>
        <v>3</v>
      </c>
    </row>
    <row r="4" spans="1:7" ht="12.75">
      <c r="A4" s="16">
        <f>COUNTIF(E$2:E4,E4)</f>
        <v>1</v>
      </c>
      <c r="B4" s="16">
        <v>3</v>
      </c>
      <c r="C4" s="16" t="str">
        <f t="shared" si="1"/>
        <v>Luke Yeatman1</v>
      </c>
      <c r="D4" s="16" t="s">
        <v>49</v>
      </c>
      <c r="E4" t="str">
        <f>+'Stage  Entry'!H6</f>
        <v>Luke Yeatman</v>
      </c>
      <c r="F4" s="134">
        <f>+'Stage  Entry'!I6</f>
        <v>0.007071759259259259</v>
      </c>
      <c r="G4" s="17">
        <f t="shared" si="0"/>
        <v>3</v>
      </c>
    </row>
    <row r="5" spans="1:7" ht="12.75">
      <c r="A5" s="16">
        <f>COUNTIF(E$2:E5,E5)</f>
        <v>1</v>
      </c>
      <c r="B5" s="16">
        <v>4</v>
      </c>
      <c r="C5" s="16" t="str">
        <f t="shared" si="1"/>
        <v>David Venour1</v>
      </c>
      <c r="D5" s="16" t="s">
        <v>49</v>
      </c>
      <c r="E5" t="str">
        <f>+'Stage  Entry'!H7</f>
        <v>David Venour</v>
      </c>
      <c r="F5" s="134">
        <f>+'Stage  Entry'!I7</f>
        <v>0.007025462962962963</v>
      </c>
      <c r="G5" s="17">
        <f t="shared" si="0"/>
        <v>3</v>
      </c>
    </row>
    <row r="6" spans="1:7" ht="12.75">
      <c r="A6" s="16">
        <f>COUNTIF(E$2:E6,E6)</f>
        <v>1</v>
      </c>
      <c r="B6" s="16">
        <v>5</v>
      </c>
      <c r="C6" s="16" t="str">
        <f t="shared" si="1"/>
        <v>Andrew Coles1</v>
      </c>
      <c r="D6" s="16" t="s">
        <v>49</v>
      </c>
      <c r="E6" t="str">
        <f>+'Stage  Entry'!H8</f>
        <v>Andrew Coles</v>
      </c>
      <c r="F6" s="134">
        <f>+'Stage  Entry'!I8</f>
        <v>0.007071759259259259</v>
      </c>
      <c r="G6" s="17">
        <f t="shared" si="0"/>
        <v>3</v>
      </c>
    </row>
    <row r="7" spans="1:7" ht="12.75">
      <c r="A7" s="16">
        <f>COUNTIF(E$2:E7,E7)</f>
        <v>1</v>
      </c>
      <c r="B7" s="16">
        <v>1</v>
      </c>
      <c r="C7" s="16" t="str">
        <f t="shared" si="1"/>
        <v>Luke Gray1</v>
      </c>
      <c r="D7" s="16" t="s">
        <v>50</v>
      </c>
      <c r="E7" t="str">
        <f>+'Stage  Entry'!M4</f>
        <v>Luke Gray</v>
      </c>
      <c r="F7" s="134">
        <f>+'Stage  Entry'!N4</f>
        <v>0.007476851851851853</v>
      </c>
      <c r="G7" s="17">
        <f t="shared" si="0"/>
        <v>3</v>
      </c>
    </row>
    <row r="8" spans="1:7" ht="12.75">
      <c r="A8" s="16">
        <f>COUNTIF(E$2:E8,E8)</f>
        <v>1</v>
      </c>
      <c r="B8" s="16">
        <v>2</v>
      </c>
      <c r="C8" s="16" t="str">
        <f t="shared" si="1"/>
        <v>Shane Fielding1</v>
      </c>
      <c r="D8" s="16" t="s">
        <v>50</v>
      </c>
      <c r="E8" t="str">
        <f>+'Stage  Entry'!M5</f>
        <v>Shane Fielding</v>
      </c>
      <c r="F8" s="134">
        <f>+'Stage  Entry'!N5</f>
        <v>0.0076157407407407415</v>
      </c>
      <c r="G8" s="17">
        <f t="shared" si="0"/>
        <v>3</v>
      </c>
    </row>
    <row r="9" spans="1:7" ht="12.75">
      <c r="A9" s="16">
        <f>COUNTIF(E$2:E9,E9)</f>
        <v>1</v>
      </c>
      <c r="B9" s="16">
        <v>3</v>
      </c>
      <c r="C9" s="16" t="str">
        <f t="shared" si="1"/>
        <v>Richard Does1</v>
      </c>
      <c r="D9" s="16" t="s">
        <v>50</v>
      </c>
      <c r="E9" t="str">
        <f>+'Stage  Entry'!M6</f>
        <v>Richard Does</v>
      </c>
      <c r="F9" s="134">
        <f>+'Stage  Entry'!N6</f>
        <v>0.007326388888888889</v>
      </c>
      <c r="G9" s="17">
        <f t="shared" si="0"/>
        <v>3</v>
      </c>
    </row>
    <row r="10" spans="1:7" ht="12.75">
      <c r="A10" s="16">
        <f>COUNTIF(E$2:E10,E10)</f>
        <v>1</v>
      </c>
      <c r="B10" s="16">
        <v>4</v>
      </c>
      <c r="C10" s="16" t="str">
        <f t="shared" si="1"/>
        <v>Troy Williams1</v>
      </c>
      <c r="D10" s="16" t="s">
        <v>50</v>
      </c>
      <c r="E10" t="str">
        <f>+'Stage  Entry'!M7</f>
        <v>Troy Williams</v>
      </c>
      <c r="F10" s="134">
        <f>+'Stage  Entry'!N7</f>
        <v>0.007141203703703704</v>
      </c>
      <c r="G10" s="17">
        <f t="shared" si="0"/>
        <v>3</v>
      </c>
    </row>
    <row r="11" spans="1:7" ht="12.75">
      <c r="A11" s="16">
        <f>COUNTIF(E$2:E11,E11)</f>
        <v>1</v>
      </c>
      <c r="B11" s="16">
        <v>5</v>
      </c>
      <c r="C11" s="16" t="str">
        <f t="shared" si="1"/>
        <v>Colin Thornton1</v>
      </c>
      <c r="D11" s="16" t="s">
        <v>50</v>
      </c>
      <c r="E11" t="str">
        <f>+'Stage  Entry'!M8</f>
        <v>Colin Thornton</v>
      </c>
      <c r="F11" s="134">
        <f>+'Stage  Entry'!N8</f>
        <v>0.007071759259259259</v>
      </c>
      <c r="G11" s="17">
        <f t="shared" si="0"/>
        <v>3</v>
      </c>
    </row>
    <row r="12" spans="1:7" ht="12.75">
      <c r="A12" s="16">
        <f>COUNTIF(E$2:E12,E12)</f>
        <v>1</v>
      </c>
      <c r="B12" s="16">
        <v>1</v>
      </c>
      <c r="C12" s="16" t="str">
        <f t="shared" si="1"/>
        <v>Dale Nardella1</v>
      </c>
      <c r="D12" s="16">
        <v>2</v>
      </c>
      <c r="E12" t="str">
        <f>+'Stage  Entry'!W4</f>
        <v>Dale Nardella</v>
      </c>
      <c r="F12" s="134">
        <f>+'Stage  Entry'!X4</f>
        <v>0.010439814814814813</v>
      </c>
      <c r="G12" s="17">
        <f>+Dist2</f>
        <v>3.6</v>
      </c>
    </row>
    <row r="13" spans="1:7" ht="12.75">
      <c r="A13" s="16">
        <f>COUNTIF(E$2:E13,E13)</f>
        <v>1</v>
      </c>
      <c r="B13" s="16">
        <v>2</v>
      </c>
      <c r="C13" s="16" t="str">
        <f t="shared" si="1"/>
        <v>Gary O'Dwyer1</v>
      </c>
      <c r="D13" s="16">
        <v>2</v>
      </c>
      <c r="E13" t="str">
        <f>+'Stage  Entry'!W5</f>
        <v>Gary O'Dwyer</v>
      </c>
      <c r="F13" s="134">
        <f>+'Stage  Entry'!X5</f>
        <v>0.011006944444444444</v>
      </c>
      <c r="G13" s="17">
        <f>+Dist2</f>
        <v>3.6</v>
      </c>
    </row>
    <row r="14" spans="1:7" ht="12.75">
      <c r="A14" s="16">
        <f>COUNTIF(E$2:E14,E14)</f>
        <v>1</v>
      </c>
      <c r="B14" s="16">
        <v>3</v>
      </c>
      <c r="C14" s="16" t="str">
        <f t="shared" si="1"/>
        <v>Craig Harris1</v>
      </c>
      <c r="D14" s="16">
        <v>2</v>
      </c>
      <c r="E14" t="str">
        <f>+'Stage  Entry'!W6</f>
        <v>Craig Harris</v>
      </c>
      <c r="F14" s="134">
        <f>+'Stage  Entry'!X6</f>
        <v>0.009780092592592592</v>
      </c>
      <c r="G14" s="17">
        <f>+Dist2</f>
        <v>3.6</v>
      </c>
    </row>
    <row r="15" spans="1:7" ht="12.75">
      <c r="A15" s="16">
        <f>COUNTIF(E$2:E15,E15)</f>
        <v>1</v>
      </c>
      <c r="B15" s="16">
        <v>4</v>
      </c>
      <c r="C15" s="16" t="str">
        <f t="shared" si="1"/>
        <v>Matt Sandilands1</v>
      </c>
      <c r="D15" s="16">
        <v>2</v>
      </c>
      <c r="E15" t="str">
        <f>+'Stage  Entry'!W7</f>
        <v>Matt Sandilands</v>
      </c>
      <c r="F15" s="134">
        <f>+'Stage  Entry'!X7</f>
        <v>0.009293981481481481</v>
      </c>
      <c r="G15" s="17">
        <f>+Dist2</f>
        <v>3.6</v>
      </c>
    </row>
    <row r="16" spans="1:7" ht="12.75">
      <c r="A16" s="16">
        <f>COUNTIF(E$2:E16,E16)</f>
        <v>1</v>
      </c>
      <c r="B16" s="16">
        <v>5</v>
      </c>
      <c r="C16" s="16" t="str">
        <f t="shared" si="1"/>
        <v>Glenn Goodman1</v>
      </c>
      <c r="D16" s="16">
        <v>2</v>
      </c>
      <c r="E16" t="str">
        <f>+'Stage  Entry'!W8</f>
        <v>Glenn Goodman</v>
      </c>
      <c r="F16" s="134">
        <f>+'Stage  Entry'!X8</f>
        <v>0.009305555555555555</v>
      </c>
      <c r="G16" s="17">
        <f>+Dist2</f>
        <v>3.6</v>
      </c>
    </row>
    <row r="17" spans="1:7" ht="12.75">
      <c r="A17" s="16">
        <f>COUNTIF(E$2:E17,E17)</f>
        <v>1</v>
      </c>
      <c r="B17" s="16">
        <v>1</v>
      </c>
      <c r="C17" s="16" t="str">
        <f t="shared" si="1"/>
        <v>Anthony Mithen1</v>
      </c>
      <c r="D17" s="16">
        <v>3</v>
      </c>
      <c r="E17" t="str">
        <f>+'Stage  Entry'!AB4</f>
        <v>Anthony Mithen</v>
      </c>
      <c r="F17" s="134">
        <f>+'Stage  Entry'!AC4</f>
        <v>0.009953703703703704</v>
      </c>
      <c r="G17" s="17">
        <f>+Dist3</f>
        <v>3.9</v>
      </c>
    </row>
    <row r="18" spans="1:7" ht="12.75">
      <c r="A18" s="16">
        <f>COUNTIF(E$2:E18,E18)</f>
        <v>1</v>
      </c>
      <c r="B18" s="16">
        <v>2</v>
      </c>
      <c r="C18" s="16" t="str">
        <f t="shared" si="1"/>
        <v>Scott Lawrence1</v>
      </c>
      <c r="D18" s="16">
        <v>3</v>
      </c>
      <c r="E18" t="str">
        <f>+'Stage  Entry'!AB5</f>
        <v>Scott Lawrence</v>
      </c>
      <c r="F18" s="134">
        <f>+'Stage  Entry'!AC5</f>
        <v>0.010335648148148148</v>
      </c>
      <c r="G18" s="17">
        <f>+Dist3</f>
        <v>3.9</v>
      </c>
    </row>
    <row r="19" spans="1:7" ht="12.75">
      <c r="A19" s="16">
        <f>COUNTIF(E$2:E19,E19)</f>
        <v>1</v>
      </c>
      <c r="B19" s="16">
        <v>3</v>
      </c>
      <c r="C19" s="16" t="str">
        <f t="shared" si="1"/>
        <v>Mike Bialczak1</v>
      </c>
      <c r="D19" s="16">
        <v>3</v>
      </c>
      <c r="E19" t="str">
        <f>+'Stage  Entry'!AB6</f>
        <v>Mike Bialczak</v>
      </c>
      <c r="F19" s="134">
        <f>+'Stage  Entry'!AC6</f>
        <v>0.009768518518518518</v>
      </c>
      <c r="G19" s="17">
        <f>+Dist3</f>
        <v>3.9</v>
      </c>
    </row>
    <row r="20" spans="1:7" ht="12.75">
      <c r="A20" s="16">
        <f>COUNTIF(E$2:E20,E20)</f>
        <v>1</v>
      </c>
      <c r="B20" s="16">
        <v>4</v>
      </c>
      <c r="C20" s="16" t="str">
        <f t="shared" si="1"/>
        <v>Paul Marsh1</v>
      </c>
      <c r="D20" s="16">
        <v>3</v>
      </c>
      <c r="E20" t="str">
        <f>+'Stage  Entry'!AB7</f>
        <v>Paul Marsh</v>
      </c>
      <c r="F20" s="134">
        <f>+'Stage  Entry'!AC7</f>
        <v>0.010358796296296295</v>
      </c>
      <c r="G20" s="17">
        <f>+Dist3</f>
        <v>3.9</v>
      </c>
    </row>
    <row r="21" spans="1:7" ht="12.75">
      <c r="A21" s="16">
        <f>COUNTIF(E$2:E21,E21)</f>
        <v>1</v>
      </c>
      <c r="B21" s="16">
        <v>5</v>
      </c>
      <c r="C21" s="16" t="str">
        <f t="shared" si="1"/>
        <v>Mark Purvis1</v>
      </c>
      <c r="D21" s="16">
        <v>3</v>
      </c>
      <c r="E21" t="str">
        <f>+'Stage  Entry'!AB8</f>
        <v>Mark Purvis</v>
      </c>
      <c r="F21" s="134">
        <f>+'Stage  Entry'!AC8</f>
        <v>0.010335648148148148</v>
      </c>
      <c r="G21" s="17">
        <f>+Dist3</f>
        <v>3.9</v>
      </c>
    </row>
    <row r="22" spans="1:7" ht="12.75">
      <c r="A22" s="16">
        <f>COUNTIF(E$2:E22,E22)</f>
        <v>2</v>
      </c>
      <c r="B22" s="16">
        <v>1</v>
      </c>
      <c r="C22" s="16" t="str">
        <f t="shared" si="1"/>
        <v>Luke Gray2</v>
      </c>
      <c r="D22" s="16">
        <v>4</v>
      </c>
      <c r="E22" t="str">
        <f>+'Stage  Entry'!AG4</f>
        <v>Luke Gray</v>
      </c>
      <c r="F22" s="134">
        <f>+'Stage  Entry'!AH4</f>
        <v>0.01037037037037037</v>
      </c>
      <c r="G22" s="17">
        <f>+Dist4</f>
        <v>4.2</v>
      </c>
    </row>
    <row r="23" spans="1:7" ht="12.75">
      <c r="A23" s="16">
        <f>COUNTIF(E$2:E23,E23)</f>
        <v>2</v>
      </c>
      <c r="B23" s="16">
        <v>2</v>
      </c>
      <c r="C23" s="16" t="str">
        <f t="shared" si="1"/>
        <v>Shane Fielding2</v>
      </c>
      <c r="D23" s="16">
        <v>4</v>
      </c>
      <c r="E23" t="str">
        <f>+'Stage  Entry'!AG5</f>
        <v>Shane Fielding</v>
      </c>
      <c r="F23" s="134">
        <f>+'Stage  Entry'!AH5</f>
        <v>0.010347222222222223</v>
      </c>
      <c r="G23" s="17">
        <f>+Dist4</f>
        <v>4.2</v>
      </c>
    </row>
    <row r="24" spans="1:7" ht="12.75">
      <c r="A24" s="16">
        <f>COUNTIF(E$2:E24,E24)</f>
        <v>2</v>
      </c>
      <c r="B24" s="16">
        <v>3</v>
      </c>
      <c r="C24" s="16" t="str">
        <f t="shared" si="1"/>
        <v>Richard Does2</v>
      </c>
      <c r="D24" s="16">
        <v>4</v>
      </c>
      <c r="E24" t="str">
        <f>+'Stage  Entry'!AG6</f>
        <v>Richard Does</v>
      </c>
      <c r="F24" s="134">
        <f>+'Stage  Entry'!AH6</f>
        <v>0.009733796296296298</v>
      </c>
      <c r="G24" s="17">
        <f>+Dist4</f>
        <v>4.2</v>
      </c>
    </row>
    <row r="25" spans="1:7" ht="12.75">
      <c r="A25" s="16">
        <f>COUNTIF(E$2:E25,E25)</f>
        <v>2</v>
      </c>
      <c r="B25" s="16">
        <v>4</v>
      </c>
      <c r="C25" s="16" t="str">
        <f t="shared" si="1"/>
        <v>David Venour2</v>
      </c>
      <c r="D25" s="16">
        <v>4</v>
      </c>
      <c r="E25" t="str">
        <f>+'Stage  Entry'!AG7</f>
        <v>David Venour</v>
      </c>
      <c r="F25" s="134">
        <f>+'Stage  Entry'!AH7</f>
        <v>0.009502314814814816</v>
      </c>
      <c r="G25" s="17">
        <f>+Dist4</f>
        <v>4.2</v>
      </c>
    </row>
    <row r="26" spans="1:7" ht="12.75">
      <c r="A26" s="16">
        <f>COUNTIF(E$2:E26,E26)</f>
        <v>2</v>
      </c>
      <c r="B26" s="16">
        <v>5</v>
      </c>
      <c r="C26" s="16" t="str">
        <f t="shared" si="1"/>
        <v>Colin Thornton2</v>
      </c>
      <c r="D26" s="16">
        <v>4</v>
      </c>
      <c r="E26" t="str">
        <f>+'Stage  Entry'!AG8</f>
        <v>Colin Thornton</v>
      </c>
      <c r="F26" s="134">
        <f>+'Stage  Entry'!AH8</f>
        <v>0.009722222222222222</v>
      </c>
      <c r="G26" s="17">
        <f>+Dist4</f>
        <v>4.2</v>
      </c>
    </row>
    <row r="27" spans="1:7" ht="12.75">
      <c r="A27" s="16">
        <f>COUNTIF(E$2:E27,E27)</f>
        <v>2</v>
      </c>
      <c r="B27" s="16">
        <v>1</v>
      </c>
      <c r="C27" s="16" t="str">
        <f t="shared" si="1"/>
        <v>Stephen Paine2</v>
      </c>
      <c r="D27" s="16">
        <v>5</v>
      </c>
      <c r="E27" t="str">
        <f>+'Stage  Entry'!AL4</f>
        <v>Stephen Paine</v>
      </c>
      <c r="F27" s="134">
        <f>+'Stage  Entry'!AM4</f>
        <v>0.009976851851851853</v>
      </c>
      <c r="G27" s="17">
        <f>+Dist5</f>
        <v>4.7</v>
      </c>
    </row>
    <row r="28" spans="1:7" ht="12.75">
      <c r="A28" s="16">
        <f>COUNTIF(E$2:E28,E28)</f>
        <v>1</v>
      </c>
      <c r="B28" s="16">
        <v>2</v>
      </c>
      <c r="C28" s="16" t="str">
        <f t="shared" si="1"/>
        <v>Sub1</v>
      </c>
      <c r="D28" s="16">
        <v>5</v>
      </c>
      <c r="E28" t="str">
        <f>+'Stage  Entry'!AL5</f>
        <v>Sub</v>
      </c>
      <c r="F28" s="134">
        <f>+'Stage  Entry'!AM5</f>
        <v>0.010138888888888888</v>
      </c>
      <c r="G28" s="17">
        <f>+Dist5</f>
        <v>4.7</v>
      </c>
    </row>
    <row r="29" spans="1:7" ht="12.75">
      <c r="A29" s="16">
        <f>COUNTIF(E$2:E29,E29)</f>
        <v>2</v>
      </c>
      <c r="B29" s="16">
        <v>3</v>
      </c>
      <c r="C29" s="16" t="str">
        <f t="shared" si="1"/>
        <v>Luke Yeatman2</v>
      </c>
      <c r="D29" s="16">
        <v>5</v>
      </c>
      <c r="E29" t="str">
        <f>+'Stage  Entry'!AL6</f>
        <v>Luke Yeatman</v>
      </c>
      <c r="F29" s="134">
        <f>+'Stage  Entry'!AM6</f>
        <v>0.01025462962962963</v>
      </c>
      <c r="G29" s="17">
        <f>+Dist5</f>
        <v>4.7</v>
      </c>
    </row>
    <row r="30" spans="1:7" ht="12.75">
      <c r="A30" s="16">
        <f>COUNTIF(E$2:E30,E30)</f>
        <v>2</v>
      </c>
      <c r="B30" s="16">
        <v>4</v>
      </c>
      <c r="C30" s="16" t="str">
        <f t="shared" si="1"/>
        <v>Troy Williams2</v>
      </c>
      <c r="D30" s="16">
        <v>5</v>
      </c>
      <c r="E30" t="str">
        <f>+'Stage  Entry'!AL7</f>
        <v>Troy Williams</v>
      </c>
      <c r="F30" s="134">
        <f>+'Stage  Entry'!AM7</f>
        <v>0.01019675925925926</v>
      </c>
      <c r="G30" s="17">
        <f>+Dist5</f>
        <v>4.7</v>
      </c>
    </row>
    <row r="31" spans="1:7" ht="12.75">
      <c r="A31" s="16">
        <f>COUNTIF(E$2:E31,E31)</f>
        <v>2</v>
      </c>
      <c r="B31" s="16">
        <v>5</v>
      </c>
      <c r="C31" s="16" t="str">
        <f t="shared" si="1"/>
        <v>Andrew Coles2</v>
      </c>
      <c r="D31" s="16">
        <v>5</v>
      </c>
      <c r="E31" t="str">
        <f>+'Stage  Entry'!AL8</f>
        <v>Andrew Coles</v>
      </c>
      <c r="F31" s="134">
        <f>+'Stage  Entry'!AM8</f>
        <v>0.010127314814814815</v>
      </c>
      <c r="G31" s="17">
        <f>+Dist5</f>
        <v>4.7</v>
      </c>
    </row>
    <row r="32" spans="1:7" ht="12.75">
      <c r="A32" s="16">
        <f>COUNTIF(E$2:E32,E32)</f>
        <v>2</v>
      </c>
      <c r="B32" s="16">
        <v>1</v>
      </c>
      <c r="C32" s="16" t="str">
        <f t="shared" si="1"/>
        <v>Dale Nardella2</v>
      </c>
      <c r="D32" s="16">
        <v>6</v>
      </c>
      <c r="E32" t="str">
        <f>+'Stage  Entry'!AQ4</f>
        <v>Dale Nardella</v>
      </c>
      <c r="F32" s="134">
        <f>+'Stage  Entry'!AR4</f>
        <v>0.00951388888888889</v>
      </c>
      <c r="G32" s="17">
        <f>+Dist6</f>
        <v>3.25</v>
      </c>
    </row>
    <row r="33" spans="1:7" ht="12.75">
      <c r="A33" s="16">
        <f>COUNTIF(E$2:E33,E33)</f>
        <v>2</v>
      </c>
      <c r="B33" s="16">
        <v>2</v>
      </c>
      <c r="C33" s="16" t="str">
        <f t="shared" si="1"/>
        <v>Gary O'Dwyer2</v>
      </c>
      <c r="D33" s="16">
        <v>6</v>
      </c>
      <c r="E33" t="str">
        <f>+'Stage  Entry'!AQ5</f>
        <v>Gary O'Dwyer</v>
      </c>
      <c r="F33" s="134">
        <f>+'Stage  Entry'!AR5</f>
        <v>0.009907407407407408</v>
      </c>
      <c r="G33" s="17">
        <f>+Dist6</f>
        <v>3.25</v>
      </c>
    </row>
    <row r="34" spans="1:7" ht="12.75">
      <c r="A34" s="16">
        <f>COUNTIF(E$2:E34,E34)</f>
        <v>2</v>
      </c>
      <c r="B34" s="16">
        <v>3</v>
      </c>
      <c r="C34" s="16" t="str">
        <f t="shared" si="1"/>
        <v>Craig Harris2</v>
      </c>
      <c r="D34" s="16">
        <v>6</v>
      </c>
      <c r="E34" t="str">
        <f>+'Stage  Entry'!AQ6</f>
        <v>Craig Harris</v>
      </c>
      <c r="F34" s="134">
        <f>+'Stage  Entry'!AR6</f>
        <v>0.008865740740740742</v>
      </c>
      <c r="G34" s="17">
        <f>+Dist6</f>
        <v>3.25</v>
      </c>
    </row>
    <row r="35" spans="1:7" ht="12.75">
      <c r="A35" s="16">
        <f>COUNTIF(E$2:E35,E35)</f>
        <v>2</v>
      </c>
      <c r="B35" s="16">
        <v>4</v>
      </c>
      <c r="C35" s="16" t="str">
        <f t="shared" si="1"/>
        <v>Matt Sandilands2</v>
      </c>
      <c r="D35" s="16">
        <v>6</v>
      </c>
      <c r="E35" t="str">
        <f>+'Stage  Entry'!AQ7</f>
        <v>Matt Sandilands</v>
      </c>
      <c r="F35" s="134">
        <f>+'Stage  Entry'!AR7</f>
        <v>0.008692129629629631</v>
      </c>
      <c r="G35" s="17">
        <f>+Dist6</f>
        <v>3.25</v>
      </c>
    </row>
    <row r="36" spans="1:7" ht="12.75">
      <c r="A36" s="16">
        <f>COUNTIF(E$2:E36,E36)</f>
        <v>2</v>
      </c>
      <c r="B36" s="16">
        <v>5</v>
      </c>
      <c r="C36" s="16" t="str">
        <f t="shared" si="1"/>
        <v>Glenn Goodman2</v>
      </c>
      <c r="D36" s="16">
        <v>6</v>
      </c>
      <c r="E36" t="str">
        <f>+'Stage  Entry'!AQ8</f>
        <v>Glenn Goodman</v>
      </c>
      <c r="F36" s="134">
        <f>+'Stage  Entry'!AR8</f>
        <v>0.008518518518518519</v>
      </c>
      <c r="G36" s="17">
        <f>+Dist6</f>
        <v>3.25</v>
      </c>
    </row>
    <row r="37" spans="1:7" ht="12.75">
      <c r="A37" s="16">
        <f>COUNTIF(E$2:E37,E37)</f>
        <v>2</v>
      </c>
      <c r="B37" s="16">
        <v>1</v>
      </c>
      <c r="C37" s="16" t="str">
        <f t="shared" si="1"/>
        <v>Anthony Mithen2</v>
      </c>
      <c r="D37" s="16">
        <v>7</v>
      </c>
      <c r="E37" t="str">
        <f>+'Stage  Entry'!AV4</f>
        <v>Anthony Mithen</v>
      </c>
      <c r="F37" s="134">
        <f>+'Stage  Entry'!AW4</f>
        <v>0.008761574074074074</v>
      </c>
      <c r="G37" s="17">
        <f>+Dist7</f>
        <v>3.7</v>
      </c>
    </row>
    <row r="38" spans="1:7" ht="12.75">
      <c r="A38" s="16">
        <f>COUNTIF(E$2:E38,E38)</f>
        <v>2</v>
      </c>
      <c r="B38" s="16">
        <v>2</v>
      </c>
      <c r="C38" s="16" t="str">
        <f t="shared" si="1"/>
        <v>Scott Lawrence2</v>
      </c>
      <c r="D38" s="16">
        <v>7</v>
      </c>
      <c r="E38" t="str">
        <f>+'Stage  Entry'!AV5</f>
        <v>Scott Lawrence</v>
      </c>
      <c r="F38" s="134">
        <f>+'Stage  Entry'!AW5</f>
        <v>0.008888888888888889</v>
      </c>
      <c r="G38" s="17">
        <f>+Dist7</f>
        <v>3.7</v>
      </c>
    </row>
    <row r="39" spans="1:7" ht="12.75">
      <c r="A39" s="16">
        <f>COUNTIF(E$2:E39,E39)</f>
        <v>2</v>
      </c>
      <c r="B39" s="16">
        <v>3</v>
      </c>
      <c r="C39" s="16" t="str">
        <f t="shared" si="1"/>
        <v>Mike Bialczak2</v>
      </c>
      <c r="D39" s="16">
        <v>7</v>
      </c>
      <c r="E39" t="str">
        <f>+'Stage  Entry'!AV6</f>
        <v>Mike Bialczak</v>
      </c>
      <c r="F39" s="134">
        <f>+'Stage  Entry'!AW6</f>
        <v>0.008773148148148148</v>
      </c>
      <c r="G39" s="17">
        <f>+Dist7</f>
        <v>3.7</v>
      </c>
    </row>
    <row r="40" spans="1:7" ht="12.75">
      <c r="A40" s="16">
        <f>COUNTIF(E$2:E40,E40)</f>
        <v>2</v>
      </c>
      <c r="B40" s="16">
        <v>4</v>
      </c>
      <c r="C40" s="16" t="str">
        <f t="shared" si="1"/>
        <v>Paul Marsh2</v>
      </c>
      <c r="D40" s="16">
        <v>7</v>
      </c>
      <c r="E40" t="str">
        <f>+'Stage  Entry'!AV7</f>
        <v>Paul Marsh</v>
      </c>
      <c r="F40" s="134">
        <f>+'Stage  Entry'!AW7</f>
        <v>0.009097222222222222</v>
      </c>
      <c r="G40" s="17">
        <f>+Dist7</f>
        <v>3.7</v>
      </c>
    </row>
    <row r="41" spans="1:7" ht="12.75">
      <c r="A41" s="16">
        <f>COUNTIF(E$2:E41,E41)</f>
        <v>2</v>
      </c>
      <c r="B41" s="16">
        <v>5</v>
      </c>
      <c r="C41" s="16" t="str">
        <f t="shared" si="1"/>
        <v>Mark Purvis2</v>
      </c>
      <c r="D41" s="16">
        <v>7</v>
      </c>
      <c r="E41" t="str">
        <f>+'Stage  Entry'!AV8</f>
        <v>Mark Purvis</v>
      </c>
      <c r="F41" s="134">
        <f>+'Stage  Entry'!AW8</f>
        <v>0.009351851851851853</v>
      </c>
      <c r="G41" s="17">
        <f>+Dist7</f>
        <v>3.7</v>
      </c>
    </row>
    <row r="42" spans="1:7" ht="12.75">
      <c r="A42" s="16">
        <f>COUNTIF(E$2:E42,E42)</f>
        <v>3</v>
      </c>
      <c r="B42" s="16">
        <v>1</v>
      </c>
      <c r="C42" s="16" t="str">
        <f t="shared" si="1"/>
        <v>Anthony Mithen3</v>
      </c>
      <c r="D42" s="16" t="s">
        <v>51</v>
      </c>
      <c r="E42" t="str">
        <f>+'Stage  Entry'!H12</f>
        <v>Anthony Mithen</v>
      </c>
      <c r="F42" s="134">
        <f>+'Stage  Entry'!I12</f>
        <v>0.007418981481481481</v>
      </c>
      <c r="G42" s="17">
        <f aca="true" t="shared" si="2" ref="G42:G51">+Dist8</f>
        <v>3</v>
      </c>
    </row>
    <row r="43" spans="1:7" ht="12.75">
      <c r="A43" s="16">
        <f>COUNTIF(E$2:E43,E43)</f>
        <v>2</v>
      </c>
      <c r="B43" s="16">
        <v>2</v>
      </c>
      <c r="C43" s="16" t="str">
        <f t="shared" si="1"/>
        <v>Sub2</v>
      </c>
      <c r="D43" s="16" t="s">
        <v>51</v>
      </c>
      <c r="E43" t="str">
        <f>+'Stage  Entry'!H13</f>
        <v>Sub</v>
      </c>
      <c r="F43" s="134">
        <f>+'Stage  Entry'!I13</f>
        <v>0.007627314814814815</v>
      </c>
      <c r="G43" s="17">
        <f t="shared" si="2"/>
        <v>3</v>
      </c>
    </row>
    <row r="44" spans="1:7" ht="12.75">
      <c r="A44" s="16">
        <f>COUNTIF(E$2:E44,E44)</f>
        <v>3</v>
      </c>
      <c r="B44" s="16">
        <v>3</v>
      </c>
      <c r="C44" s="16" t="str">
        <f t="shared" si="1"/>
        <v>Mike Bialczak3</v>
      </c>
      <c r="D44" s="16" t="s">
        <v>51</v>
      </c>
      <c r="E44" t="str">
        <f>+'Stage  Entry'!H14</f>
        <v>Mike Bialczak</v>
      </c>
      <c r="F44" s="134">
        <f>+'Stage  Entry'!I14</f>
        <v>0.008113425925925925</v>
      </c>
      <c r="G44" s="17">
        <f t="shared" si="2"/>
        <v>3</v>
      </c>
    </row>
    <row r="45" spans="1:7" ht="12.75">
      <c r="A45" s="16">
        <f>COUNTIF(E$2:E45,E45)</f>
        <v>3</v>
      </c>
      <c r="B45" s="16">
        <v>4</v>
      </c>
      <c r="C45" s="16" t="str">
        <f t="shared" si="1"/>
        <v>Paul Marsh3</v>
      </c>
      <c r="D45" s="16" t="s">
        <v>51</v>
      </c>
      <c r="E45" t="str">
        <f>+'Stage  Entry'!H15</f>
        <v>Paul Marsh</v>
      </c>
      <c r="F45" s="134">
        <f>+'Stage  Entry'!I15</f>
        <v>0.007604166666666666</v>
      </c>
      <c r="G45" s="17">
        <f t="shared" si="2"/>
        <v>3</v>
      </c>
    </row>
    <row r="46" spans="1:7" ht="12.75">
      <c r="A46" s="16">
        <f>COUNTIF(E$2:E46,E46)</f>
        <v>3</v>
      </c>
      <c r="B46" s="16">
        <v>5</v>
      </c>
      <c r="C46" s="16" t="str">
        <f t="shared" si="1"/>
        <v>Mark Purvis3</v>
      </c>
      <c r="D46" s="16" t="s">
        <v>51</v>
      </c>
      <c r="E46" t="str">
        <f>+'Stage  Entry'!H16</f>
        <v>Mark Purvis</v>
      </c>
      <c r="F46" s="134">
        <f>+'Stage  Entry'!I16</f>
        <v>0.0075</v>
      </c>
      <c r="G46" s="17">
        <f t="shared" si="2"/>
        <v>3</v>
      </c>
    </row>
    <row r="47" spans="1:7" ht="12.75">
      <c r="A47" s="16">
        <f>COUNTIF(E$2:E47,E47)</f>
        <v>3</v>
      </c>
      <c r="B47" s="16">
        <v>1</v>
      </c>
      <c r="C47" s="16" t="str">
        <f t="shared" si="1"/>
        <v>Dale Nardella3</v>
      </c>
      <c r="D47" s="16" t="s">
        <v>52</v>
      </c>
      <c r="E47" t="str">
        <f>+'Stage  Entry'!M12</f>
        <v>Dale Nardella</v>
      </c>
      <c r="F47" s="134">
        <f>+'Stage  Entry'!N12</f>
        <v>0.00900462962962963</v>
      </c>
      <c r="G47" s="17">
        <f t="shared" si="2"/>
        <v>3</v>
      </c>
    </row>
    <row r="48" spans="1:7" ht="12.75">
      <c r="A48" s="16">
        <f>COUNTIF(E$2:E48,E48)</f>
        <v>3</v>
      </c>
      <c r="B48" s="16">
        <v>2</v>
      </c>
      <c r="C48" s="16" t="str">
        <f t="shared" si="1"/>
        <v>Sub3</v>
      </c>
      <c r="D48" s="16" t="s">
        <v>52</v>
      </c>
      <c r="E48" t="str">
        <f>+'Stage  Entry'!M13</f>
        <v>Sub</v>
      </c>
      <c r="F48" s="134">
        <f>+'Stage  Entry'!N13</f>
        <v>0.008229166666666666</v>
      </c>
      <c r="G48" s="17">
        <f t="shared" si="2"/>
        <v>3</v>
      </c>
    </row>
    <row r="49" spans="1:7" ht="12.75">
      <c r="A49" s="16">
        <f>COUNTIF(E$2:E49,E49)</f>
        <v>3</v>
      </c>
      <c r="B49" s="16">
        <v>3</v>
      </c>
      <c r="C49" s="16" t="str">
        <f aca="true" t="shared" si="3" ref="C49:C81">E49&amp;A49</f>
        <v>Craig Harris3</v>
      </c>
      <c r="D49" s="16" t="s">
        <v>52</v>
      </c>
      <c r="E49" t="str">
        <f>+'Stage  Entry'!M14</f>
        <v>Craig Harris</v>
      </c>
      <c r="F49" s="134">
        <f>+'Stage  Entry'!N14</f>
        <v>0.008229166666666666</v>
      </c>
      <c r="G49" s="17">
        <f t="shared" si="2"/>
        <v>3</v>
      </c>
    </row>
    <row r="50" spans="1:7" ht="12.75">
      <c r="A50" s="16">
        <f>COUNTIF(E$2:E50,E50)</f>
        <v>3</v>
      </c>
      <c r="B50" s="16">
        <v>4</v>
      </c>
      <c r="C50" s="16" t="str">
        <f t="shared" si="3"/>
        <v>Matt Sandilands3</v>
      </c>
      <c r="D50" s="16" t="s">
        <v>52</v>
      </c>
      <c r="E50" t="str">
        <f>+'Stage  Entry'!M15</f>
        <v>Matt Sandilands</v>
      </c>
      <c r="F50" s="134">
        <f>+'Stage  Entry'!N15</f>
        <v>0.007962962962962963</v>
      </c>
      <c r="G50" s="17">
        <f t="shared" si="2"/>
        <v>3</v>
      </c>
    </row>
    <row r="51" spans="1:7" ht="12.75">
      <c r="A51" s="16">
        <f>COUNTIF(E$2:E51,E51)</f>
        <v>3</v>
      </c>
      <c r="B51" s="16">
        <v>5</v>
      </c>
      <c r="C51" s="16" t="str">
        <f t="shared" si="3"/>
        <v>Glenn Goodman3</v>
      </c>
      <c r="D51" s="16" t="s">
        <v>52</v>
      </c>
      <c r="E51" t="str">
        <f>+'Stage  Entry'!M16</f>
        <v>Glenn Goodman</v>
      </c>
      <c r="F51" s="134">
        <f>+'Stage  Entry'!N16</f>
        <v>0.007743055555555556</v>
      </c>
      <c r="G51" s="17">
        <f t="shared" si="2"/>
        <v>3</v>
      </c>
    </row>
    <row r="52" spans="1:7" ht="12.75">
      <c r="A52" s="16">
        <f>COUNTIF(E$2:E52,E52)</f>
        <v>3</v>
      </c>
      <c r="B52" s="16">
        <v>1</v>
      </c>
      <c r="C52" s="16" t="str">
        <f t="shared" si="3"/>
        <v>Stephen Paine3</v>
      </c>
      <c r="D52" s="16">
        <v>9</v>
      </c>
      <c r="E52" t="str">
        <f>+'Stage  Entry'!W12</f>
        <v>Stephen Paine</v>
      </c>
      <c r="F52" s="134">
        <f>+'Stage  Entry'!X12</f>
        <v>0.00912037037037037</v>
      </c>
      <c r="G52" s="17">
        <f>+Dist9</f>
        <v>3.6</v>
      </c>
    </row>
    <row r="53" spans="1:7" ht="12.75">
      <c r="A53" s="16">
        <f>COUNTIF(E$2:E53,E53)</f>
        <v>3</v>
      </c>
      <c r="B53" s="16">
        <v>2</v>
      </c>
      <c r="C53" s="16" t="str">
        <f t="shared" si="3"/>
        <v>Shane Fielding3</v>
      </c>
      <c r="D53" s="16">
        <v>9</v>
      </c>
      <c r="E53" t="str">
        <f>+'Stage  Entry'!W13</f>
        <v>Shane Fielding</v>
      </c>
      <c r="F53" s="134">
        <f>+'Stage  Entry'!X13</f>
        <v>0.010266203703703703</v>
      </c>
      <c r="G53" s="17">
        <f>+Dist9</f>
        <v>3.6</v>
      </c>
    </row>
    <row r="54" spans="1:7" ht="12.75">
      <c r="A54" s="16">
        <f>COUNTIF(E$2:E54,E54)</f>
        <v>3</v>
      </c>
      <c r="B54" s="16">
        <v>3</v>
      </c>
      <c r="C54" s="16" t="str">
        <f t="shared" si="3"/>
        <v>Richard Does3</v>
      </c>
      <c r="D54" s="16">
        <v>9</v>
      </c>
      <c r="E54" t="str">
        <f>+'Stage  Entry'!W14</f>
        <v>Richard Does</v>
      </c>
      <c r="F54" s="134">
        <f>+'Stage  Entry'!X14</f>
        <v>0.00986111111111111</v>
      </c>
      <c r="G54" s="17">
        <f>+Dist9</f>
        <v>3.6</v>
      </c>
    </row>
    <row r="55" spans="1:7" ht="12.75">
      <c r="A55" s="16">
        <f>COUNTIF(E$2:E55,E55)</f>
        <v>3</v>
      </c>
      <c r="B55" s="16">
        <v>4</v>
      </c>
      <c r="C55" s="16" t="str">
        <f t="shared" si="3"/>
        <v>David Venour3</v>
      </c>
      <c r="D55" s="16">
        <v>9</v>
      </c>
      <c r="E55" t="str">
        <f>+'Stage  Entry'!W15</f>
        <v>David Venour</v>
      </c>
      <c r="F55" s="134">
        <f>+'Stage  Entry'!X15</f>
        <v>0.009293981481481481</v>
      </c>
      <c r="G55" s="17">
        <f>+Dist9</f>
        <v>3.6</v>
      </c>
    </row>
    <row r="56" spans="1:7" ht="12.75">
      <c r="A56" s="16">
        <f>COUNTIF(E$2:E56,E56)</f>
        <v>3</v>
      </c>
      <c r="B56" s="16">
        <v>5</v>
      </c>
      <c r="C56" s="16" t="str">
        <f t="shared" si="3"/>
        <v>Andrew Coles3</v>
      </c>
      <c r="D56" s="16">
        <v>9</v>
      </c>
      <c r="E56" t="str">
        <f>+'Stage  Entry'!W16</f>
        <v>Andrew Coles</v>
      </c>
      <c r="F56" s="134">
        <f>+'Stage  Entry'!X16</f>
        <v>0.009837962962962963</v>
      </c>
      <c r="G56" s="17">
        <f>+Dist9</f>
        <v>3.6</v>
      </c>
    </row>
    <row r="57" spans="1:7" ht="12.75">
      <c r="A57" s="16">
        <f>COUNTIF(E$2:E57,E57)</f>
        <v>3</v>
      </c>
      <c r="B57" s="16">
        <v>1</v>
      </c>
      <c r="C57" s="16" t="str">
        <f t="shared" si="3"/>
        <v>Luke Gray3</v>
      </c>
      <c r="D57" s="16">
        <v>10</v>
      </c>
      <c r="E57" t="str">
        <f>+'Stage  Entry'!AB12</f>
        <v>Luke Gray</v>
      </c>
      <c r="F57" s="134">
        <f>+'Stage  Entry'!AC12</f>
        <v>0.010891203703703703</v>
      </c>
      <c r="G57" s="17">
        <f>+Dist10</f>
        <v>4.45</v>
      </c>
    </row>
    <row r="58" spans="1:7" ht="12.75">
      <c r="A58" s="16">
        <f>COUNTIF(E$2:E58,E58)</f>
        <v>3</v>
      </c>
      <c r="B58" s="16">
        <v>2</v>
      </c>
      <c r="C58" s="16" t="str">
        <f t="shared" si="3"/>
        <v>Gary O'Dwyer3</v>
      </c>
      <c r="D58" s="16">
        <v>10</v>
      </c>
      <c r="E58" t="str">
        <f>+'Stage  Entry'!AB13</f>
        <v>Gary O'Dwyer</v>
      </c>
      <c r="F58" s="134">
        <f>+'Stage  Entry'!AC13</f>
        <v>0.013125</v>
      </c>
      <c r="G58" s="17">
        <f>+Dist10</f>
        <v>4.45</v>
      </c>
    </row>
    <row r="59" spans="1:7" ht="12.75">
      <c r="A59" s="16">
        <f>COUNTIF(E$2:E59,E59)</f>
        <v>3</v>
      </c>
      <c r="B59" s="16">
        <v>3</v>
      </c>
      <c r="C59" s="16" t="str">
        <f t="shared" si="3"/>
        <v>Luke Yeatman3</v>
      </c>
      <c r="D59" s="16">
        <v>10</v>
      </c>
      <c r="E59" t="str">
        <f>+'Stage  Entry'!AB14</f>
        <v>Luke Yeatman</v>
      </c>
      <c r="F59" s="134">
        <f>+'Stage  Entry'!AC14</f>
        <v>0.010289351851851852</v>
      </c>
      <c r="G59" s="17">
        <f>+Dist10</f>
        <v>4.45</v>
      </c>
    </row>
    <row r="60" spans="1:7" ht="12.75">
      <c r="A60" s="16">
        <f>COUNTIF(E$2:E60,E60)</f>
        <v>3</v>
      </c>
      <c r="B60" s="16">
        <v>4</v>
      </c>
      <c r="C60" s="16" t="str">
        <f t="shared" si="3"/>
        <v>Troy Williams3</v>
      </c>
      <c r="D60" s="16">
        <v>10</v>
      </c>
      <c r="E60" t="str">
        <f>+'Stage  Entry'!AB15</f>
        <v>Troy Williams</v>
      </c>
      <c r="F60" s="134">
        <f>+'Stage  Entry'!AC15</f>
        <v>0.010127314814814815</v>
      </c>
      <c r="G60" s="17">
        <f>+Dist10</f>
        <v>4.45</v>
      </c>
    </row>
    <row r="61" spans="1:7" ht="12.75">
      <c r="A61" s="16">
        <f>COUNTIF(E$2:E61,E61)</f>
        <v>3</v>
      </c>
      <c r="B61" s="16">
        <v>5</v>
      </c>
      <c r="C61" s="16" t="str">
        <f t="shared" si="3"/>
        <v>Colin Thornton3</v>
      </c>
      <c r="D61" s="16">
        <v>10</v>
      </c>
      <c r="E61" t="str">
        <f>+'Stage  Entry'!AB16</f>
        <v>Colin Thornton</v>
      </c>
      <c r="F61" s="134">
        <f>+'Stage  Entry'!AC16</f>
        <v>0.0103125</v>
      </c>
      <c r="G61" s="17">
        <f>+Dist10</f>
        <v>4.45</v>
      </c>
    </row>
    <row r="62" spans="1:7" ht="12.75">
      <c r="A62" s="16">
        <f>COUNTIF(E$2:E62,E62)</f>
        <v>4</v>
      </c>
      <c r="B62" s="16">
        <v>1</v>
      </c>
      <c r="C62" s="16" t="str">
        <f t="shared" si="3"/>
        <v>Anthony Mithen4</v>
      </c>
      <c r="D62" s="16">
        <v>11</v>
      </c>
      <c r="E62" t="str">
        <f>+'Stage  Entry'!AG12</f>
        <v>Anthony Mithen</v>
      </c>
      <c r="F62" s="134">
        <f>+'Stage  Entry'!AH12</f>
        <v>0.009305555555555555</v>
      </c>
      <c r="G62" s="17">
        <f>+Dist11</f>
        <v>4</v>
      </c>
    </row>
    <row r="63" spans="1:7" ht="12.75">
      <c r="A63" s="16">
        <f>COUNTIF(E$2:E63,E63)</f>
        <v>3</v>
      </c>
      <c r="B63" s="16">
        <v>2</v>
      </c>
      <c r="C63" s="16" t="str">
        <f t="shared" si="3"/>
        <v>Scott Lawrence3</v>
      </c>
      <c r="D63" s="16">
        <v>11</v>
      </c>
      <c r="E63" t="str">
        <f>+'Stage  Entry'!AG13</f>
        <v>Scott Lawrence</v>
      </c>
      <c r="F63" s="134">
        <f>+'Stage  Entry'!AH13</f>
        <v>0.009305555555555555</v>
      </c>
      <c r="G63" s="17">
        <f>+Dist11</f>
        <v>4</v>
      </c>
    </row>
    <row r="64" spans="1:7" ht="12.75">
      <c r="A64" s="16">
        <f>COUNTIF(E$2:E64,E64)</f>
        <v>4</v>
      </c>
      <c r="B64" s="16">
        <v>3</v>
      </c>
      <c r="C64" s="16" t="str">
        <f t="shared" si="3"/>
        <v>Mike Bialczak4</v>
      </c>
      <c r="D64" s="16">
        <v>11</v>
      </c>
      <c r="E64" t="str">
        <f>+'Stage  Entry'!AG14</f>
        <v>Mike Bialczak</v>
      </c>
      <c r="F64" s="134">
        <f>+'Stage  Entry'!AH14</f>
        <v>0.009814814814814814</v>
      </c>
      <c r="G64" s="17">
        <f>+Dist11</f>
        <v>4</v>
      </c>
    </row>
    <row r="65" spans="1:7" ht="12.75">
      <c r="A65" s="16">
        <f>COUNTIF(E$2:E65,E65)</f>
        <v>4</v>
      </c>
      <c r="B65" s="16">
        <v>4</v>
      </c>
      <c r="C65" s="16" t="str">
        <f t="shared" si="3"/>
        <v>Paul Marsh4</v>
      </c>
      <c r="D65" s="16">
        <v>11</v>
      </c>
      <c r="E65" t="str">
        <f>+'Stage  Entry'!AG15</f>
        <v>Paul Marsh</v>
      </c>
      <c r="F65" s="134">
        <f>+'Stage  Entry'!AH15</f>
        <v>0.009641203703703704</v>
      </c>
      <c r="G65" s="17">
        <f>+Dist11</f>
        <v>4</v>
      </c>
    </row>
    <row r="66" spans="1:7" ht="12.75">
      <c r="A66" s="16">
        <f>COUNTIF(E$2:E66,E66)</f>
        <v>4</v>
      </c>
      <c r="B66" s="16">
        <v>5</v>
      </c>
      <c r="C66" s="16" t="str">
        <f t="shared" si="3"/>
        <v>Mark Purvis4</v>
      </c>
      <c r="D66" s="16">
        <v>11</v>
      </c>
      <c r="E66" t="str">
        <f>+'Stage  Entry'!AG16</f>
        <v>Mark Purvis</v>
      </c>
      <c r="F66" s="134">
        <f>+'Stage  Entry'!AH16</f>
        <v>0.009525462962962963</v>
      </c>
      <c r="G66" s="17">
        <f>+Dist11</f>
        <v>4</v>
      </c>
    </row>
    <row r="67" spans="1:7" ht="12.75">
      <c r="A67" s="16">
        <f>COUNTIF(E$2:E67,E67)</f>
        <v>4</v>
      </c>
      <c r="B67" s="16">
        <v>1</v>
      </c>
      <c r="C67" s="16" t="str">
        <f t="shared" si="3"/>
        <v>Stephen Paine4</v>
      </c>
      <c r="D67" s="16">
        <v>12</v>
      </c>
      <c r="E67" t="str">
        <f>+'Stage  Entry'!AL12</f>
        <v>Stephen Paine</v>
      </c>
      <c r="F67" s="134">
        <f>+'Stage  Entry'!AM12</f>
        <v>0.00980324074074074</v>
      </c>
      <c r="G67" s="17">
        <f>+Dist12</f>
        <v>4</v>
      </c>
    </row>
    <row r="68" spans="1:7" ht="12.75">
      <c r="A68" s="16">
        <f>COUNTIF(E$2:E68,E68)</f>
        <v>4</v>
      </c>
      <c r="B68" s="16">
        <v>2</v>
      </c>
      <c r="C68" s="16" t="str">
        <f t="shared" si="3"/>
        <v>Shane Fielding4</v>
      </c>
      <c r="D68" s="16">
        <v>12</v>
      </c>
      <c r="E68" t="str">
        <f>+'Stage  Entry'!AL13</f>
        <v>Shane Fielding</v>
      </c>
      <c r="F68" s="134">
        <f>+'Stage  Entry'!AM13</f>
        <v>0.011041666666666667</v>
      </c>
      <c r="G68" s="17">
        <f>+Dist12</f>
        <v>4</v>
      </c>
    </row>
    <row r="69" spans="1:7" ht="12.75">
      <c r="A69" s="16">
        <f>COUNTIF(E$2:E69,E69)</f>
        <v>4</v>
      </c>
      <c r="B69" s="16">
        <v>3</v>
      </c>
      <c r="C69" s="16" t="str">
        <f t="shared" si="3"/>
        <v>Richard Does4</v>
      </c>
      <c r="D69" s="16">
        <v>12</v>
      </c>
      <c r="E69" t="str">
        <f>+'Stage  Entry'!AL14</f>
        <v>Richard Does</v>
      </c>
      <c r="F69" s="134">
        <f>+'Stage  Entry'!AM14</f>
        <v>0.010578703703703703</v>
      </c>
      <c r="G69" s="17">
        <f>+Dist12</f>
        <v>4</v>
      </c>
    </row>
    <row r="70" spans="1:7" ht="12.75">
      <c r="A70" s="16">
        <f>COUNTIF(E$2:E70,E70)</f>
        <v>4</v>
      </c>
      <c r="B70" s="16">
        <v>4</v>
      </c>
      <c r="C70" s="16" t="str">
        <f t="shared" si="3"/>
        <v>David Venour4</v>
      </c>
      <c r="D70" s="16">
        <v>12</v>
      </c>
      <c r="E70" t="str">
        <f>+'Stage  Entry'!AL15</f>
        <v>David Venour</v>
      </c>
      <c r="F70" s="134">
        <f>+'Stage  Entry'!AM15</f>
        <v>0.010162037037037037</v>
      </c>
      <c r="G70" s="17">
        <f>+Dist12</f>
        <v>4</v>
      </c>
    </row>
    <row r="71" spans="1:7" ht="12.75">
      <c r="A71" s="16">
        <f>COUNTIF(E$2:E71,E71)</f>
        <v>4</v>
      </c>
      <c r="B71" s="16">
        <v>5</v>
      </c>
      <c r="C71" s="16" t="str">
        <f t="shared" si="3"/>
        <v>Andrew Coles4</v>
      </c>
      <c r="D71" s="16">
        <v>12</v>
      </c>
      <c r="E71" t="str">
        <f>+'Stage  Entry'!AL16</f>
        <v>Andrew Coles</v>
      </c>
      <c r="F71" s="134">
        <f>+'Stage  Entry'!AM16</f>
        <v>0.010069444444444445</v>
      </c>
      <c r="G71" s="17">
        <f>+Dist12</f>
        <v>4</v>
      </c>
    </row>
    <row r="72" spans="1:7" ht="12.75">
      <c r="A72" s="16">
        <f>COUNTIF(E$2:E72,E72)</f>
        <v>4</v>
      </c>
      <c r="B72" s="16">
        <v>1</v>
      </c>
      <c r="C72" s="16" t="str">
        <f t="shared" si="3"/>
        <v>Luke Gray4</v>
      </c>
      <c r="D72" s="16">
        <v>13</v>
      </c>
      <c r="E72" t="str">
        <f>+'Stage  Entry'!AQ12</f>
        <v>Luke Gray</v>
      </c>
      <c r="F72" s="134">
        <f>+'Stage  Entry'!AR12</f>
        <v>0.01136574074074074</v>
      </c>
      <c r="G72" s="17">
        <f>+Dist13</f>
        <v>4.5</v>
      </c>
    </row>
    <row r="73" spans="1:7" ht="12.75">
      <c r="A73" s="16">
        <f>COUNTIF(E$2:E73,E73)</f>
        <v>4</v>
      </c>
      <c r="B73" s="16">
        <v>2</v>
      </c>
      <c r="C73" s="16" t="str">
        <f t="shared" si="3"/>
        <v>Scott Lawrence4</v>
      </c>
      <c r="D73" s="16">
        <v>13</v>
      </c>
      <c r="E73" t="str">
        <f>+'Stage  Entry'!AQ13</f>
        <v>Scott Lawrence</v>
      </c>
      <c r="F73" s="134">
        <f>+'Stage  Entry'!AR13</f>
        <v>0.012118055555555556</v>
      </c>
      <c r="G73" s="17">
        <f>+Dist13</f>
        <v>4.5</v>
      </c>
    </row>
    <row r="74" spans="1:7" ht="12.75">
      <c r="A74" s="16">
        <f>COUNTIF(E$2:E74,E74)</f>
        <v>4</v>
      </c>
      <c r="B74" s="16">
        <v>3</v>
      </c>
      <c r="C74" s="16" t="str">
        <f t="shared" si="3"/>
        <v>Luke Yeatman4</v>
      </c>
      <c r="D74" s="16">
        <v>13</v>
      </c>
      <c r="E74" t="str">
        <f>+'Stage  Entry'!AQ14</f>
        <v>Luke Yeatman</v>
      </c>
      <c r="F74" s="134">
        <f>+'Stage  Entry'!AR14</f>
        <v>0.010659722222222221</v>
      </c>
      <c r="G74" s="17">
        <f>+Dist13</f>
        <v>4.5</v>
      </c>
    </row>
    <row r="75" spans="1:7" ht="12.75">
      <c r="A75" s="16">
        <f>COUNTIF(E$2:E75,E75)</f>
        <v>4</v>
      </c>
      <c r="B75" s="16">
        <v>4</v>
      </c>
      <c r="C75" s="16" t="str">
        <f t="shared" si="3"/>
        <v>Troy Williams4</v>
      </c>
      <c r="D75" s="16">
        <v>13</v>
      </c>
      <c r="E75" t="str">
        <f>+'Stage  Entry'!AQ15</f>
        <v>Troy Williams</v>
      </c>
      <c r="F75" s="134">
        <f>+'Stage  Entry'!AR15</f>
        <v>0.010462962962962964</v>
      </c>
      <c r="G75" s="17">
        <f>+Dist13</f>
        <v>4.5</v>
      </c>
    </row>
    <row r="76" spans="1:7" ht="12.75">
      <c r="A76" s="16">
        <f>COUNTIF(E$2:E76,E76)</f>
        <v>4</v>
      </c>
      <c r="B76" s="16">
        <v>5</v>
      </c>
      <c r="C76" s="16" t="str">
        <f t="shared" si="3"/>
        <v>Colin Thornton4</v>
      </c>
      <c r="D76" s="16">
        <v>13</v>
      </c>
      <c r="E76" t="str">
        <f>+'Stage  Entry'!AQ16</f>
        <v>Colin Thornton</v>
      </c>
      <c r="F76" s="134">
        <f>+'Stage  Entry'!AR16</f>
        <v>0.01054398148148148</v>
      </c>
      <c r="G76" s="17">
        <f>+Dist13</f>
        <v>4.5</v>
      </c>
    </row>
    <row r="77" spans="1:7" ht="12.75">
      <c r="A77" s="16">
        <f>COUNTIF(E$2:E77,E77)</f>
        <v>4</v>
      </c>
      <c r="B77" s="16">
        <v>1</v>
      </c>
      <c r="C77" s="16" t="str">
        <f t="shared" si="3"/>
        <v>Dale Nardella4</v>
      </c>
      <c r="D77" s="16">
        <v>14</v>
      </c>
      <c r="E77" t="str">
        <f>+'Stage  Entry'!AV12</f>
        <v>Dale Nardella</v>
      </c>
      <c r="F77" s="134">
        <f>+'Stage  Entry'!AW12</f>
        <v>0.010138888888888888</v>
      </c>
      <c r="G77" s="17">
        <f>+Dist14</f>
        <v>3.7</v>
      </c>
    </row>
    <row r="78" spans="1:7" ht="12.75">
      <c r="A78" s="16">
        <f>COUNTIF(E$2:E78,E78)</f>
        <v>4</v>
      </c>
      <c r="B78" s="16">
        <v>2</v>
      </c>
      <c r="C78" s="16" t="str">
        <f t="shared" si="3"/>
        <v>Gary O'Dwyer4</v>
      </c>
      <c r="D78" s="16">
        <v>14</v>
      </c>
      <c r="E78" t="str">
        <f>+'Stage  Entry'!AV13</f>
        <v>Gary O'Dwyer</v>
      </c>
      <c r="F78" s="134">
        <f>+'Stage  Entry'!AW13</f>
        <v>0.010983796296296297</v>
      </c>
      <c r="G78" s="17">
        <f>+Dist14</f>
        <v>3.7</v>
      </c>
    </row>
    <row r="79" spans="1:7" ht="12.75">
      <c r="A79" s="16">
        <f>COUNTIF(E$2:E79,E79)</f>
        <v>4</v>
      </c>
      <c r="B79" s="16">
        <v>3</v>
      </c>
      <c r="C79" s="16" t="str">
        <f t="shared" si="3"/>
        <v>Craig Harris4</v>
      </c>
      <c r="D79" s="16">
        <v>14</v>
      </c>
      <c r="E79" t="str">
        <f>+'Stage  Entry'!AV14</f>
        <v>Craig Harris</v>
      </c>
      <c r="F79" s="134">
        <f>+'Stage  Entry'!AW14</f>
        <v>0.00949074074074074</v>
      </c>
      <c r="G79" s="17">
        <f>+Dist14</f>
        <v>3.7</v>
      </c>
    </row>
    <row r="80" spans="1:7" ht="12.75">
      <c r="A80" s="16">
        <f>COUNTIF(E$2:E80,E80)</f>
        <v>4</v>
      </c>
      <c r="B80" s="16">
        <v>4</v>
      </c>
      <c r="C80" s="16" t="str">
        <f t="shared" si="3"/>
        <v>Matt Sandilands4</v>
      </c>
      <c r="D80" s="16">
        <v>14</v>
      </c>
      <c r="E80" t="str">
        <f>+'Stage  Entry'!AV15</f>
        <v>Matt Sandilands</v>
      </c>
      <c r="F80" s="134">
        <f>+'Stage  Entry'!AW15</f>
        <v>0.009039351851851852</v>
      </c>
      <c r="G80" s="17">
        <f>+Dist14</f>
        <v>3.7</v>
      </c>
    </row>
    <row r="81" spans="1:7" ht="12.75">
      <c r="A81" s="16">
        <f>COUNTIF(E$2:E81,E81)</f>
        <v>4</v>
      </c>
      <c r="B81" s="16">
        <v>5</v>
      </c>
      <c r="C81" s="16" t="str">
        <f t="shared" si="3"/>
        <v>Glenn Goodman4</v>
      </c>
      <c r="D81" s="16">
        <v>14</v>
      </c>
      <c r="E81" t="str">
        <f>+'Stage  Entry'!AV16</f>
        <v>Glenn Goodman</v>
      </c>
      <c r="F81" s="134">
        <f>+'Stage  Entry'!AW16</f>
        <v>0.008900462962962962</v>
      </c>
      <c r="G81" s="17">
        <f>+Dist14</f>
        <v>3.7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Mathews</dc:creator>
  <cp:keywords/>
  <dc:description/>
  <cp:lastModifiedBy>godw3003</cp:lastModifiedBy>
  <cp:lastPrinted>2007-11-04T21:20:19Z</cp:lastPrinted>
  <dcterms:created xsi:type="dcterms:W3CDTF">2001-03-07T08:50:40Z</dcterms:created>
  <dcterms:modified xsi:type="dcterms:W3CDTF">2009-11-11T05:02:38Z</dcterms:modified>
  <cp:category/>
  <cp:version/>
  <cp:contentType/>
  <cp:contentStatus/>
</cp:coreProperties>
</file>