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478" activeTab="1"/>
  </bookViews>
  <sheets>
    <sheet name="Team Selection" sheetId="1" r:id="rId1"/>
    <sheet name="Stage  Entry" sheetId="2" r:id="rId2"/>
    <sheet name="Teams by Stage" sheetId="3" r:id="rId3"/>
    <sheet name="Stage-by-Stage" sheetId="4" r:id="rId4"/>
    <sheet name="Runner Performance" sheetId="5" r:id="rId5"/>
    <sheet name="Data" sheetId="6" r:id="rId6"/>
  </sheets>
  <definedNames>
    <definedName name="Dist1">'Stage  Entry'!$I$2</definedName>
    <definedName name="Dist10">'Stage  Entry'!$AC$12</definedName>
    <definedName name="Dist11">'Stage  Entry'!$AH$12</definedName>
    <definedName name="Dist12">'Stage  Entry'!$AM$12</definedName>
    <definedName name="Dist13">'Stage  Entry'!$AR$12</definedName>
    <definedName name="Dist14">'Stage  Entry'!$AW$12</definedName>
    <definedName name="Dist2">'Stage  Entry'!$X$2</definedName>
    <definedName name="Dist3">'Stage  Entry'!$AC$2</definedName>
    <definedName name="Dist4">'Stage  Entry'!$AH$2</definedName>
    <definedName name="Dist5">'Stage  Entry'!$AM$2</definedName>
    <definedName name="Dist6">'Stage  Entry'!$AR$2</definedName>
    <definedName name="Dist7">'Stage  Entry'!$AW$2</definedName>
    <definedName name="Dist8">'Stage  Entry'!$I$12</definedName>
    <definedName name="Dist9">'Stage  Entry'!$X$12</definedName>
    <definedName name="_xlnm.Print_Area" localSheetId="1">'Stage  Entry'!$A$1:$BD$18</definedName>
    <definedName name="_xlnm.Print_Area" localSheetId="0">'Team Selection'!$B$1:$J$8</definedName>
    <definedName name="_xlnm.Print_Titles" localSheetId="1">'Stage  Entry'!$A:$G</definedName>
    <definedName name="RunnerName">#REF!</definedName>
    <definedName name="Stage">#REF!</definedName>
    <definedName name="Stage1">#REF!</definedName>
    <definedName name="Stage10">#REF!</definedName>
    <definedName name="Stage11">#REF!</definedName>
    <definedName name="Stage12">#REF!</definedName>
    <definedName name="Stage13">#REF!</definedName>
    <definedName name="Stage14">#REF!</definedName>
    <definedName name="Stage15">#REF!</definedName>
    <definedName name="Stage16">#REF!</definedName>
    <definedName name="Stage2">#REF!</definedName>
    <definedName name="Stage3">#REF!</definedName>
    <definedName name="Stage4">#REF!</definedName>
    <definedName name="Stage5">#REF!</definedName>
    <definedName name="Stage6">#REF!</definedName>
    <definedName name="Stage7">#REF!</definedName>
    <definedName name="Stage8">#REF!</definedName>
    <definedName name="Stage9">#REF!</definedName>
    <definedName name="Team1">'Team Selection'!$D$3:$J$3</definedName>
    <definedName name="Team1Result">#REF!</definedName>
    <definedName name="Team1Runner1">#REF!</definedName>
    <definedName name="Team1Runner2">#REF!</definedName>
    <definedName name="Team1Runner3">#REF!</definedName>
    <definedName name="Team1Runner4">#REF!</definedName>
    <definedName name="Team2">'Team Selection'!$D$4:$J$4</definedName>
    <definedName name="Team2Result">#REF!</definedName>
    <definedName name="Team2Runner1">#REF!</definedName>
    <definedName name="Team2Runner2">#REF!</definedName>
    <definedName name="Team2Runner3">#REF!</definedName>
    <definedName name="Team2Runner4">#REF!</definedName>
    <definedName name="Team3">'Team Selection'!$D$5:$J$5</definedName>
    <definedName name="Team3Result">#REF!</definedName>
    <definedName name="Team3Runner1">#REF!</definedName>
    <definedName name="Team3Runner2">#REF!</definedName>
    <definedName name="Team3Runner3">#REF!</definedName>
    <definedName name="Team3Runner4">#REF!</definedName>
    <definedName name="Team4">'Team Selection'!$D$6:$J$6</definedName>
    <definedName name="Team4Result">#REF!</definedName>
    <definedName name="Team4Runner1">#REF!</definedName>
    <definedName name="Team4Runner2">#REF!</definedName>
    <definedName name="Team4Runner3">#REF!</definedName>
    <definedName name="Team4Runner4">#REF!</definedName>
    <definedName name="Team5">'Team Selection'!$D$7:$J$7</definedName>
    <definedName name="Team5Result">#REF!</definedName>
    <definedName name="Team5Runner1">#REF!</definedName>
    <definedName name="Team5Runner2">#REF!</definedName>
    <definedName name="Team5Runner3">#REF!</definedName>
    <definedName name="Team5Runner4">#REF!</definedName>
    <definedName name="Team6">'Team Selection'!$D$8:$J$8</definedName>
    <definedName name="Team6Result">#REF!</definedName>
    <definedName name="Team6Runner1">#REF!</definedName>
    <definedName name="Team6Runner2">#REF!</definedName>
    <definedName name="Team6Runner3">#REF!</definedName>
    <definedName name="Team6Runner4">#REF!</definedName>
  </definedNames>
  <calcPr fullCalcOnLoad="1"/>
</workbook>
</file>

<file path=xl/sharedStrings.xml><?xml version="1.0" encoding="utf-8"?>
<sst xmlns="http://schemas.openxmlformats.org/spreadsheetml/2006/main" count="507" uniqueCount="94">
  <si>
    <t>Team</t>
  </si>
  <si>
    <t>2nd Runner</t>
  </si>
  <si>
    <t>3rd Runner</t>
  </si>
  <si>
    <t>4th Runner</t>
  </si>
  <si>
    <t>1st Runner</t>
  </si>
  <si>
    <t>Stage 1</t>
  </si>
  <si>
    <t>Runner</t>
  </si>
  <si>
    <t>Time</t>
  </si>
  <si>
    <t>min/km</t>
  </si>
  <si>
    <t>km</t>
  </si>
  <si>
    <t>Rank</t>
  </si>
  <si>
    <t>Stage</t>
  </si>
  <si>
    <t>Stage 2</t>
  </si>
  <si>
    <t>Stage 3</t>
  </si>
  <si>
    <t>Stage 4</t>
  </si>
  <si>
    <t>Stage 5</t>
  </si>
  <si>
    <t>Stage 6</t>
  </si>
  <si>
    <t>Stage 7</t>
  </si>
  <si>
    <t>Stage 8</t>
  </si>
  <si>
    <t xml:space="preserve">Overall </t>
  </si>
  <si>
    <t xml:space="preserve">Morning </t>
  </si>
  <si>
    <t>Stage 9</t>
  </si>
  <si>
    <t>Stage 10</t>
  </si>
  <si>
    <t>Stage 11</t>
  </si>
  <si>
    <t>Stage 12</t>
  </si>
  <si>
    <t>Stage 13</t>
  </si>
  <si>
    <t>Stage 14</t>
  </si>
  <si>
    <t xml:space="preserve">A/noon </t>
  </si>
  <si>
    <t>Ones</t>
  </si>
  <si>
    <t>Twos</t>
  </si>
  <si>
    <t>Threes</t>
  </si>
  <si>
    <t>Fours</t>
  </si>
  <si>
    <t>Dist</t>
  </si>
  <si>
    <t>Run 1</t>
  </si>
  <si>
    <t>Run 2</t>
  </si>
  <si>
    <t>Run 3</t>
  </si>
  <si>
    <t>Run 4</t>
  </si>
  <si>
    <t>Name</t>
  </si>
  <si>
    <t>Distance</t>
  </si>
  <si>
    <t>Total</t>
  </si>
  <si>
    <t>Average</t>
  </si>
  <si>
    <t>Cumulative</t>
  </si>
  <si>
    <t>Margin</t>
  </si>
  <si>
    <t>Place</t>
  </si>
  <si>
    <t>Team Name</t>
  </si>
  <si>
    <t>Jim Grelis</t>
  </si>
  <si>
    <t>Stage 1 TT #1</t>
  </si>
  <si>
    <t>Stage 1 TT #2</t>
  </si>
  <si>
    <t>Stage 8 TT #1</t>
  </si>
  <si>
    <t>Stage 8 TT #2</t>
  </si>
  <si>
    <t>1 #1</t>
  </si>
  <si>
    <t>1 #2</t>
  </si>
  <si>
    <t>8 #1</t>
  </si>
  <si>
    <t>8 #2</t>
  </si>
  <si>
    <t>Combined</t>
  </si>
  <si>
    <t>Gary O'Dwyer</t>
  </si>
  <si>
    <t>David Venour</t>
  </si>
  <si>
    <t>Paul Martinico</t>
  </si>
  <si>
    <t>Anthony Lee</t>
  </si>
  <si>
    <t>Wayne Williams</t>
  </si>
  <si>
    <t>Troy Williams</t>
  </si>
  <si>
    <t>Anthony Weiland</t>
  </si>
  <si>
    <t>Anthony Mithen</t>
  </si>
  <si>
    <t>Matt Sandilands</t>
  </si>
  <si>
    <t>Shane Fielding</t>
  </si>
  <si>
    <t>Tony Dell</t>
  </si>
  <si>
    <t>Thai Phan</t>
  </si>
  <si>
    <t>Scott Bales</t>
  </si>
  <si>
    <t>Count Name</t>
  </si>
  <si>
    <t>Seeding Order</t>
  </si>
  <si>
    <t>Selection Metric?</t>
  </si>
  <si>
    <t>Stage 1 TT</t>
  </si>
  <si>
    <t>Stage 8 TT</t>
  </si>
  <si>
    <t>Dan Hornery</t>
  </si>
  <si>
    <t>Colin Thornton</t>
  </si>
  <si>
    <t>Bruce Arthur</t>
  </si>
  <si>
    <t>Brett Coleman</t>
  </si>
  <si>
    <t>Charles Chambers</t>
  </si>
  <si>
    <t>Matt Lowth</t>
  </si>
  <si>
    <t>Ian Dent</t>
  </si>
  <si>
    <t>Craig Harris</t>
  </si>
  <si>
    <t>Nic Gilbert</t>
  </si>
  <si>
    <t>Kirsten Jackson</t>
  </si>
  <si>
    <t>Stephen Paine</t>
  </si>
  <si>
    <t>Luke Goodman</t>
  </si>
  <si>
    <t>Richard Does</t>
  </si>
  <si>
    <t>Juanita Liston</t>
  </si>
  <si>
    <t>The Asthmatics + Dan</t>
  </si>
  <si>
    <t>The Also-Rans</t>
  </si>
  <si>
    <t>Coleman's Comrades</t>
  </si>
  <si>
    <t>Team Lost</t>
  </si>
  <si>
    <t>3 Guys, A Girl &amp; a Pub</t>
  </si>
  <si>
    <t>House of Paine</t>
  </si>
  <si>
    <t>The Drowned Rats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</si>
</sst>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"/>
    <numFmt numFmtId="173" formatCode="\ \ \ General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2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55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sz val="8"/>
      <color indexed="12"/>
      <name val="Tahoma"/>
      <family val="2"/>
    </font>
    <font>
      <b/>
      <sz val="12"/>
      <name val="Arial"/>
      <family val="0"/>
    </font>
    <font>
      <b/>
      <sz val="10"/>
      <name val="Arial"/>
      <family val="0"/>
    </font>
    <font>
      <sz val="11"/>
      <name val="Century Gothic"/>
      <family val="2"/>
    </font>
    <font>
      <sz val="10"/>
      <color indexed="22"/>
      <name val="Tahoma"/>
      <family val="2"/>
    </font>
    <font>
      <sz val="8"/>
      <color indexed="12"/>
      <name val="Tahoma"/>
      <family val="2"/>
    </font>
    <font>
      <b/>
      <sz val="10"/>
      <color indexed="22"/>
      <name val="Tahoma"/>
      <family val="2"/>
    </font>
    <font>
      <sz val="10"/>
      <color indexed="10"/>
      <name val="Arial"/>
      <family val="0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8"/>
      <color indexed="22"/>
      <name val="Tahoma"/>
      <family val="2"/>
    </font>
    <font>
      <u val="single"/>
      <sz val="10"/>
      <color indexed="23"/>
      <name val="Tahoma"/>
      <family val="2"/>
    </font>
    <font>
      <b/>
      <sz val="10"/>
      <color indexed="23"/>
      <name val="Tahoma"/>
      <family val="2"/>
    </font>
    <font>
      <sz val="10"/>
      <color indexed="23"/>
      <name val="Tahoma"/>
      <family val="2"/>
    </font>
    <font>
      <b/>
      <sz val="10"/>
      <color indexed="23"/>
      <name val="Webdings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172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Continuous"/>
    </xf>
    <xf numFmtId="0" fontId="2" fillId="0" borderId="6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2" fontId="2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2" fontId="1" fillId="0" borderId="8" xfId="0" applyNumberFormat="1" applyFont="1" applyBorder="1" applyAlignment="1">
      <alignment horizontal="centerContinuous"/>
    </xf>
    <xf numFmtId="172" fontId="2" fillId="0" borderId="6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Continuous"/>
    </xf>
    <xf numFmtId="2" fontId="2" fillId="0" borderId="6" xfId="0" applyNumberFormat="1" applyFont="1" applyBorder="1" applyAlignment="1">
      <alignment horizontal="center"/>
    </xf>
    <xf numFmtId="172" fontId="1" fillId="0" borderId="9" xfId="0" applyNumberFormat="1" applyFont="1" applyBorder="1" applyAlignment="1">
      <alignment horizontal="centerContinuous"/>
    </xf>
    <xf numFmtId="17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72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Continuous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vertical="center"/>
    </xf>
    <xf numFmtId="0" fontId="10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4" fillId="3" borderId="0" xfId="0" applyFont="1" applyFill="1" applyBorder="1" applyAlignment="1" applyProtection="1">
      <alignment horizontal="center" vertical="center"/>
      <protection/>
    </xf>
    <xf numFmtId="1" fontId="4" fillId="3" borderId="0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vertical="center"/>
      <protection/>
    </xf>
    <xf numFmtId="2" fontId="4" fillId="3" borderId="0" xfId="0" applyNumberFormat="1" applyFont="1" applyFill="1" applyBorder="1" applyAlignment="1" applyProtection="1">
      <alignment horizontal="right" vertical="center"/>
      <protection/>
    </xf>
    <xf numFmtId="0" fontId="4" fillId="3" borderId="0" xfId="0" applyFont="1" applyFill="1" applyBorder="1" applyAlignment="1" applyProtection="1">
      <alignment horizontal="left" vertical="center"/>
      <protection/>
    </xf>
    <xf numFmtId="0" fontId="5" fillId="3" borderId="0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2" fontId="5" fillId="3" borderId="0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vertical="center"/>
      <protection/>
    </xf>
    <xf numFmtId="45" fontId="2" fillId="3" borderId="0" xfId="0" applyNumberFormat="1" applyFont="1" applyFill="1" applyBorder="1" applyAlignment="1" applyProtection="1">
      <alignment horizontal="center" vertical="center"/>
      <protection/>
    </xf>
    <xf numFmtId="172" fontId="2" fillId="3" borderId="0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center"/>
      <protection/>
    </xf>
    <xf numFmtId="1" fontId="1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2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2" fontId="2" fillId="3" borderId="0" xfId="0" applyNumberFormat="1" applyFont="1" applyFill="1" applyAlignment="1" applyProtection="1">
      <alignment/>
      <protection/>
    </xf>
    <xf numFmtId="0" fontId="4" fillId="4" borderId="5" xfId="0" applyFont="1" applyFill="1" applyBorder="1" applyAlignment="1" applyProtection="1">
      <alignment horizontal="left" vertical="center"/>
      <protection/>
    </xf>
    <xf numFmtId="0" fontId="4" fillId="4" borderId="6" xfId="0" applyFont="1" applyFill="1" applyBorder="1" applyAlignment="1" applyProtection="1">
      <alignment horizontal="center" vertical="center"/>
      <protection/>
    </xf>
    <xf numFmtId="1" fontId="6" fillId="4" borderId="6" xfId="0" applyNumberFormat="1" applyFont="1" applyFill="1" applyBorder="1" applyAlignment="1" applyProtection="1">
      <alignment horizontal="center" vertical="center"/>
      <protection/>
    </xf>
    <xf numFmtId="0" fontId="2" fillId="4" borderId="5" xfId="0" applyFont="1" applyFill="1" applyBorder="1" applyAlignment="1" applyProtection="1">
      <alignment horizontal="left" vertical="center"/>
      <protection/>
    </xf>
    <xf numFmtId="21" fontId="1" fillId="4" borderId="6" xfId="0" applyNumberFormat="1" applyFont="1" applyFill="1" applyBorder="1" applyAlignment="1" applyProtection="1">
      <alignment horizontal="center" vertical="center"/>
      <protection/>
    </xf>
    <xf numFmtId="1" fontId="1" fillId="4" borderId="6" xfId="0" applyNumberFormat="1" applyFont="1" applyFill="1" applyBorder="1" applyAlignment="1" applyProtection="1">
      <alignment horizontal="center" vertical="center"/>
      <protection/>
    </xf>
    <xf numFmtId="2" fontId="4" fillId="4" borderId="16" xfId="0" applyNumberFormat="1" applyFont="1" applyFill="1" applyBorder="1" applyAlignment="1" applyProtection="1">
      <alignment horizontal="right" vertical="center"/>
      <protection/>
    </xf>
    <xf numFmtId="0" fontId="4" fillId="4" borderId="4" xfId="0" applyFont="1" applyFill="1" applyBorder="1" applyAlignment="1" applyProtection="1">
      <alignment horizontal="left" vertical="center"/>
      <protection/>
    </xf>
    <xf numFmtId="0" fontId="4" fillId="4" borderId="6" xfId="0" applyFont="1" applyFill="1" applyBorder="1" applyAlignment="1" applyProtection="1">
      <alignment vertical="center"/>
      <protection/>
    </xf>
    <xf numFmtId="2" fontId="5" fillId="4" borderId="6" xfId="0" applyNumberFormat="1" applyFont="1" applyFill="1" applyBorder="1" applyAlignment="1" applyProtection="1">
      <alignment horizontal="center" vertical="center"/>
      <protection/>
    </xf>
    <xf numFmtId="0" fontId="2" fillId="4" borderId="17" xfId="0" applyFont="1" applyFill="1" applyBorder="1" applyAlignment="1" applyProtection="1">
      <alignment vertical="center"/>
      <protection locked="0"/>
    </xf>
    <xf numFmtId="45" fontId="2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left" vertical="center"/>
      <protection/>
    </xf>
    <xf numFmtId="0" fontId="2" fillId="4" borderId="6" xfId="0" applyFont="1" applyFill="1" applyBorder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horizontal="left" vertical="center"/>
      <protection/>
    </xf>
    <xf numFmtId="0" fontId="5" fillId="3" borderId="0" xfId="0" applyFont="1" applyFill="1" applyAlignment="1" applyProtection="1">
      <alignment vertical="center"/>
      <protection/>
    </xf>
    <xf numFmtId="2" fontId="5" fillId="3" borderId="0" xfId="0" applyNumberFormat="1" applyFont="1" applyFill="1" applyAlignment="1" applyProtection="1">
      <alignment vertical="center"/>
      <protection/>
    </xf>
    <xf numFmtId="0" fontId="5" fillId="3" borderId="0" xfId="0" applyFont="1" applyFill="1" applyAlignment="1" applyProtection="1">
      <alignment horizontal="center" vertical="center"/>
      <protection/>
    </xf>
    <xf numFmtId="0" fontId="5" fillId="3" borderId="0" xfId="0" applyFont="1" applyFill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horizontal="center" vertical="center"/>
      <protection/>
    </xf>
    <xf numFmtId="1" fontId="4" fillId="3" borderId="0" xfId="0" applyNumberFormat="1" applyFont="1" applyFill="1" applyAlignment="1" applyProtection="1">
      <alignment horizontal="center" vertical="center"/>
      <protection/>
    </xf>
    <xf numFmtId="2" fontId="5" fillId="3" borderId="0" xfId="0" applyNumberFormat="1" applyFont="1" applyFill="1" applyAlignment="1" applyProtection="1">
      <alignment horizontal="center" vertical="center"/>
      <protection/>
    </xf>
    <xf numFmtId="0" fontId="11" fillId="4" borderId="11" xfId="0" applyFont="1" applyFill="1" applyBorder="1" applyAlignment="1" applyProtection="1">
      <alignment horizontal="center" vertical="center"/>
      <protection/>
    </xf>
    <xf numFmtId="0" fontId="11" fillId="4" borderId="6" xfId="0" applyFont="1" applyFill="1" applyBorder="1" applyAlignment="1" applyProtection="1">
      <alignment horizontal="center" vertical="center"/>
      <protection/>
    </xf>
    <xf numFmtId="0" fontId="11" fillId="4" borderId="10" xfId="0" applyFont="1" applyFill="1" applyBorder="1" applyAlignment="1" applyProtection="1">
      <alignment horizontal="center" vertical="center"/>
      <protection/>
    </xf>
    <xf numFmtId="0" fontId="2" fillId="4" borderId="5" xfId="0" applyFont="1" applyFill="1" applyBorder="1" applyAlignment="1">
      <alignment horizontal="left" vertical="center"/>
    </xf>
    <xf numFmtId="0" fontId="2" fillId="4" borderId="17" xfId="0" applyNumberFormat="1" applyFont="1" applyFill="1" applyBorder="1" applyAlignment="1">
      <alignment horizontal="left" vertical="center"/>
    </xf>
    <xf numFmtId="45" fontId="2" fillId="4" borderId="12" xfId="0" applyNumberFormat="1" applyFont="1" applyFill="1" applyBorder="1" applyAlignment="1">
      <alignment horizontal="center" vertical="center"/>
    </xf>
    <xf numFmtId="21" fontId="2" fillId="4" borderId="13" xfId="0" applyNumberFormat="1" applyFont="1" applyFill="1" applyBorder="1" applyAlignment="1">
      <alignment horizontal="center" vertical="center"/>
    </xf>
    <xf numFmtId="0" fontId="0" fillId="3" borderId="0" xfId="0" applyNumberFormat="1" applyFill="1" applyAlignment="1">
      <alignment horizontal="left"/>
    </xf>
    <xf numFmtId="0" fontId="4" fillId="4" borderId="5" xfId="0" applyFont="1" applyFill="1" applyBorder="1" applyAlignment="1">
      <alignment horizontal="left" vertical="center"/>
    </xf>
    <xf numFmtId="0" fontId="4" fillId="4" borderId="10" xfId="0" applyNumberFormat="1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centerContinuous" vertical="center"/>
    </xf>
    <xf numFmtId="0" fontId="4" fillId="4" borderId="16" xfId="0" applyFont="1" applyFill="1" applyBorder="1" applyAlignment="1">
      <alignment horizontal="centerContinuous" vertical="center"/>
    </xf>
    <xf numFmtId="0" fontId="0" fillId="4" borderId="4" xfId="0" applyFill="1" applyBorder="1" applyAlignment="1">
      <alignment horizontal="centerContinuous"/>
    </xf>
    <xf numFmtId="0" fontId="0" fillId="4" borderId="18" xfId="0" applyNumberFormat="1" applyFill="1" applyBorder="1" applyAlignment="1">
      <alignment horizontal="center"/>
    </xf>
    <xf numFmtId="172" fontId="0" fillId="4" borderId="19" xfId="0" applyNumberFormat="1" applyFill="1" applyBorder="1" applyAlignment="1">
      <alignment horizontal="center"/>
    </xf>
    <xf numFmtId="0" fontId="0" fillId="4" borderId="20" xfId="0" applyNumberFormat="1" applyFill="1" applyBorder="1" applyAlignment="1">
      <alignment horizontal="center"/>
    </xf>
    <xf numFmtId="172" fontId="0" fillId="4" borderId="21" xfId="0" applyNumberFormat="1" applyFill="1" applyBorder="1" applyAlignment="1">
      <alignment horizontal="center"/>
    </xf>
    <xf numFmtId="0" fontId="4" fillId="3" borderId="0" xfId="0" applyFont="1" applyFill="1" applyAlignment="1">
      <alignment/>
    </xf>
    <xf numFmtId="0" fontId="4" fillId="3" borderId="0" xfId="0" applyNumberFormat="1" applyFont="1" applyFill="1" applyAlignment="1">
      <alignment horizontal="left"/>
    </xf>
    <xf numFmtId="0" fontId="4" fillId="4" borderId="17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3" fillId="3" borderId="0" xfId="0" applyFont="1" applyFill="1" applyAlignment="1">
      <alignment/>
    </xf>
    <xf numFmtId="0" fontId="14" fillId="3" borderId="0" xfId="0" applyFont="1" applyFill="1" applyAlignment="1">
      <alignment vertical="center"/>
    </xf>
    <xf numFmtId="0" fontId="15" fillId="3" borderId="0" xfId="0" applyNumberFormat="1" applyFont="1" applyFill="1" applyAlignment="1">
      <alignment horizontal="left"/>
    </xf>
    <xf numFmtId="0" fontId="15" fillId="3" borderId="0" xfId="0" applyFont="1" applyFill="1" applyAlignment="1">
      <alignment/>
    </xf>
    <xf numFmtId="0" fontId="15" fillId="3" borderId="0" xfId="0" applyFont="1" applyFill="1" applyAlignment="1">
      <alignment horizontal="center"/>
    </xf>
    <xf numFmtId="0" fontId="13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left"/>
    </xf>
    <xf numFmtId="172" fontId="13" fillId="3" borderId="0" xfId="0" applyNumberFormat="1" applyFont="1" applyFill="1" applyAlignment="1">
      <alignment horizontal="center"/>
    </xf>
    <xf numFmtId="0" fontId="12" fillId="4" borderId="6" xfId="0" applyFont="1" applyFill="1" applyBorder="1" applyAlignment="1" applyProtection="1">
      <alignment horizontal="center" vertical="center"/>
      <protection/>
    </xf>
    <xf numFmtId="2" fontId="12" fillId="4" borderId="16" xfId="0" applyNumberFormat="1" applyFont="1" applyFill="1" applyBorder="1" applyAlignment="1" applyProtection="1">
      <alignment horizontal="right" vertical="center"/>
      <protection/>
    </xf>
    <xf numFmtId="0" fontId="12" fillId="4" borderId="4" xfId="0" applyFont="1" applyFill="1" applyBorder="1" applyAlignment="1" applyProtection="1">
      <alignment horizontal="left" vertical="center"/>
      <protection/>
    </xf>
    <xf numFmtId="0" fontId="16" fillId="4" borderId="11" xfId="0" applyFont="1" applyFill="1" applyBorder="1" applyAlignment="1" applyProtection="1">
      <alignment horizontal="center" vertical="center"/>
      <protection/>
    </xf>
    <xf numFmtId="0" fontId="12" fillId="4" borderId="6" xfId="0" applyFont="1" applyFill="1" applyBorder="1" applyAlignment="1" applyProtection="1">
      <alignment vertical="center"/>
      <protection/>
    </xf>
    <xf numFmtId="2" fontId="10" fillId="4" borderId="6" xfId="0" applyNumberFormat="1" applyFont="1" applyFill="1" applyBorder="1" applyAlignment="1" applyProtection="1">
      <alignment horizontal="center" vertical="center"/>
      <protection/>
    </xf>
    <xf numFmtId="0" fontId="16" fillId="4" borderId="6" xfId="0" applyFont="1" applyFill="1" applyBorder="1" applyAlignment="1" applyProtection="1">
      <alignment horizontal="center" vertical="center"/>
      <protection/>
    </xf>
    <xf numFmtId="0" fontId="16" fillId="4" borderId="10" xfId="0" applyFont="1" applyFill="1" applyBorder="1" applyAlignment="1" applyProtection="1">
      <alignment horizontal="center" vertical="center"/>
      <protection/>
    </xf>
    <xf numFmtId="0" fontId="10" fillId="4" borderId="17" xfId="0" applyFont="1" applyFill="1" applyBorder="1" applyAlignment="1" applyProtection="1">
      <alignment vertical="center"/>
      <protection locked="0"/>
    </xf>
    <xf numFmtId="45" fontId="10" fillId="4" borderId="12" xfId="0" applyNumberFormat="1" applyFont="1" applyFill="1" applyBorder="1" applyAlignment="1" applyProtection="1">
      <alignment horizontal="center" vertical="center"/>
      <protection locked="0"/>
    </xf>
    <xf numFmtId="172" fontId="10" fillId="2" borderId="12" xfId="0" applyNumberFormat="1" applyFont="1" applyFill="1" applyBorder="1" applyAlignment="1" applyProtection="1">
      <alignment horizontal="center"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10" fillId="3" borderId="0" xfId="0" applyFont="1" applyFill="1" applyAlignment="1" applyProtection="1">
      <alignment/>
      <protection/>
    </xf>
    <xf numFmtId="2" fontId="10" fillId="3" borderId="0" xfId="0" applyNumberFormat="1" applyFont="1" applyFill="1" applyAlignment="1" applyProtection="1">
      <alignment horizontal="center"/>
      <protection/>
    </xf>
    <xf numFmtId="0" fontId="10" fillId="3" borderId="0" xfId="0" applyFont="1" applyFill="1" applyAlignment="1" applyProtection="1">
      <alignment horizontal="center"/>
      <protection/>
    </xf>
    <xf numFmtId="2" fontId="10" fillId="3" borderId="0" xfId="0" applyNumberFormat="1" applyFont="1" applyFill="1" applyAlignment="1" applyProtection="1">
      <alignment/>
      <protection/>
    </xf>
    <xf numFmtId="45" fontId="10" fillId="3" borderId="0" xfId="0" applyNumberFormat="1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4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1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72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72" fontId="2" fillId="0" borderId="9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72" fontId="2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9" fillId="4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1" fillId="4" borderId="5" xfId="0" applyFont="1" applyFill="1" applyBorder="1" applyAlignment="1" applyProtection="1">
      <alignment horizontal="left" vertical="center"/>
      <protection/>
    </xf>
    <xf numFmtId="0" fontId="1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MMM Spring Relay - Teams by Stage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'Teams by Stage'!$AS$13</c:f>
              <c:strCache>
                <c:ptCount val="1"/>
                <c:pt idx="0">
                  <c:v>The Asthmatics + Dan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'Teams by Stage'!$AT$13:$BG$13</c:f>
              <c:numCache>
                <c:ptCount val="14"/>
                <c:pt idx="0">
                  <c:v>0</c:v>
                </c:pt>
                <c:pt idx="1">
                  <c:v>0.0007268518518518535</c:v>
                </c:pt>
                <c:pt idx="2">
                  <c:v>0.0006481481481481546</c:v>
                </c:pt>
                <c:pt idx="3">
                  <c:v>0.0010532407407407504</c:v>
                </c:pt>
                <c:pt idx="4">
                  <c:v>2.314814814815408E-05</c:v>
                </c:pt>
                <c:pt idx="5">
                  <c:v>0.0005578703703703614</c:v>
                </c:pt>
                <c:pt idx="6">
                  <c:v>0.0007407407407407501</c:v>
                </c:pt>
                <c:pt idx="7">
                  <c:v>0.0013773148148148312</c:v>
                </c:pt>
                <c:pt idx="8">
                  <c:v>0.000370370370370382</c:v>
                </c:pt>
                <c:pt idx="9">
                  <c:v>0.0014699074074074198</c:v>
                </c:pt>
                <c:pt idx="10">
                  <c:v>0.001331018518518537</c:v>
                </c:pt>
                <c:pt idx="11">
                  <c:v>0.002256944444444464</c:v>
                </c:pt>
                <c:pt idx="12">
                  <c:v>0.0010995370370370516</c:v>
                </c:pt>
                <c:pt idx="13">
                  <c:v>0.0013194444444444564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'Teams by Stage'!$AS$14</c:f>
              <c:strCache>
                <c:ptCount val="1"/>
                <c:pt idx="0">
                  <c:v>The Also-Rans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'Teams by Stage'!$AT$14:$BG$14</c:f>
              <c:numCache>
                <c:ptCount val="14"/>
                <c:pt idx="0">
                  <c:v>0.0007175925925925909</c:v>
                </c:pt>
                <c:pt idx="1">
                  <c:v>0.001756944444444443</c:v>
                </c:pt>
                <c:pt idx="2">
                  <c:v>0.001516203703703707</c:v>
                </c:pt>
                <c:pt idx="3">
                  <c:v>0.001782407407407413</c:v>
                </c:pt>
                <c:pt idx="4">
                  <c:v>0.0017129629629629647</c:v>
                </c:pt>
                <c:pt idx="5">
                  <c:v>0.003127314814814805</c:v>
                </c:pt>
                <c:pt idx="6">
                  <c:v>0.0031597222222222304</c:v>
                </c:pt>
                <c:pt idx="7">
                  <c:v>0.004212962962962974</c:v>
                </c:pt>
                <c:pt idx="8">
                  <c:v>0.00495370370370371</c:v>
                </c:pt>
                <c:pt idx="9">
                  <c:v>0.005775462962962968</c:v>
                </c:pt>
                <c:pt idx="10">
                  <c:v>0.0042245370370370405</c:v>
                </c:pt>
                <c:pt idx="11">
                  <c:v>0.00539351851851852</c:v>
                </c:pt>
                <c:pt idx="12">
                  <c:v>0.005046296296296271</c:v>
                </c:pt>
                <c:pt idx="13">
                  <c:v>0.007650462962962956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'Teams by Stage'!$AS$15</c:f>
              <c:strCache>
                <c:ptCount val="1"/>
                <c:pt idx="0">
                  <c:v>Coleman's Comrades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'Teams by Stage'!$AT$15:$BG$15</c:f>
              <c:numCache>
                <c:ptCount val="14"/>
                <c:pt idx="0">
                  <c:v>0.0004513888888888883</c:v>
                </c:pt>
                <c:pt idx="1">
                  <c:v>0.002138888888888888</c:v>
                </c:pt>
                <c:pt idx="2">
                  <c:v>0.002395833333333333</c:v>
                </c:pt>
                <c:pt idx="3">
                  <c:v>0.002291666666666664</c:v>
                </c:pt>
                <c:pt idx="4">
                  <c:v>0.0021759259259259214</c:v>
                </c:pt>
                <c:pt idx="5">
                  <c:v>0.003902777777777755</c:v>
                </c:pt>
                <c:pt idx="6">
                  <c:v>0.004479166666666673</c:v>
                </c:pt>
                <c:pt idx="7">
                  <c:v>0.006238425925925939</c:v>
                </c:pt>
                <c:pt idx="8">
                  <c:v>0.006319444444444447</c:v>
                </c:pt>
                <c:pt idx="9">
                  <c:v>0.006666666666666668</c:v>
                </c:pt>
                <c:pt idx="10">
                  <c:v>0.007777777777777772</c:v>
                </c:pt>
                <c:pt idx="11">
                  <c:v>0.008356481481481493</c:v>
                </c:pt>
                <c:pt idx="12">
                  <c:v>0.008171296296296288</c:v>
                </c:pt>
                <c:pt idx="13">
                  <c:v>0.00827546296296297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'Teams by Stage'!$AS$16</c:f>
              <c:strCache>
                <c:ptCount val="1"/>
                <c:pt idx="0">
                  <c:v>Team Lost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'Teams by Stage'!$AT$16:$BG$16</c:f>
              <c:numCache>
                <c:ptCount val="14"/>
                <c:pt idx="0">
                  <c:v>0.00013888888888888805</c:v>
                </c:pt>
                <c:pt idx="1">
                  <c:v>0.00035648148148147846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8.333333333331028E-05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'Teams by Stage'!$AS$17</c:f>
              <c:strCache>
                <c:ptCount val="1"/>
                <c:pt idx="0">
                  <c:v>3 Guys, A Girl &amp; a Pub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'Teams by Stage'!$AT$17:$BG$17</c:f>
              <c:numCache>
                <c:ptCount val="14"/>
                <c:pt idx="0">
                  <c:v>4.398148148148165E-05</c:v>
                </c:pt>
                <c:pt idx="1">
                  <c:v>0</c:v>
                </c:pt>
                <c:pt idx="2">
                  <c:v>0.0008981481481481549</c:v>
                </c:pt>
                <c:pt idx="3">
                  <c:v>0.0005671296296296396</c:v>
                </c:pt>
                <c:pt idx="4">
                  <c:v>0.00014351851851852893</c:v>
                </c:pt>
                <c:pt idx="5">
                  <c:v>0</c:v>
                </c:pt>
                <c:pt idx="6">
                  <c:v>0.0012870370370370587</c:v>
                </c:pt>
                <c:pt idx="7">
                  <c:v>0.0021435185185185446</c:v>
                </c:pt>
                <c:pt idx="8">
                  <c:v>0.0019120370370370593</c:v>
                </c:pt>
                <c:pt idx="9">
                  <c:v>0.002583333333333354</c:v>
                </c:pt>
                <c:pt idx="10">
                  <c:v>0.0020393518518518755</c:v>
                </c:pt>
                <c:pt idx="11">
                  <c:v>0.002687500000000037</c:v>
                </c:pt>
                <c:pt idx="12">
                  <c:v>0.0018888888888889122</c:v>
                </c:pt>
                <c:pt idx="13">
                  <c:v>0.0033472222222222514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'Teams by Stage'!$AS$18</c:f>
              <c:strCache>
                <c:ptCount val="1"/>
                <c:pt idx="0">
                  <c:v>House of Paine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'Teams by Stage'!$AT$18:$BG$18</c:f>
              <c:numCache>
                <c:ptCount val="14"/>
                <c:pt idx="0">
                  <c:v>0.00026620370370370426</c:v>
                </c:pt>
                <c:pt idx="1">
                  <c:v>0.0003101851851851842</c:v>
                </c:pt>
                <c:pt idx="2">
                  <c:v>0.0004861111111111177</c:v>
                </c:pt>
                <c:pt idx="3">
                  <c:v>0.000532407407407412</c:v>
                </c:pt>
                <c:pt idx="4">
                  <c:v>0.00034722222222222793</c:v>
                </c:pt>
                <c:pt idx="5">
                  <c:v>0.0003958333333333175</c:v>
                </c:pt>
                <c:pt idx="6">
                  <c:v>0.0009606481481481549</c:v>
                </c:pt>
                <c:pt idx="7">
                  <c:v>0.0017245370370370383</c:v>
                </c:pt>
                <c:pt idx="8">
                  <c:v>0.002106481481481473</c:v>
                </c:pt>
                <c:pt idx="9">
                  <c:v>0.0024421296296296136</c:v>
                </c:pt>
                <c:pt idx="10">
                  <c:v>0.0021180555555555397</c:v>
                </c:pt>
                <c:pt idx="11">
                  <c:v>0.0027662037037037013</c:v>
                </c:pt>
                <c:pt idx="12">
                  <c:v>0.002083333333333326</c:v>
                </c:pt>
                <c:pt idx="13">
                  <c:v>0.0028935185185185175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'Teams by Stage'!$AS$19</c:f>
              <c:strCache>
                <c:ptCount val="1"/>
                <c:pt idx="0">
                  <c:v>The Drowned Rats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'Teams by Stage'!$AT$19:$BG$19</c:f>
              <c:numCache>
                <c:ptCount val="14"/>
                <c:pt idx="0">
                  <c:v>0.0004976851851851843</c:v>
                </c:pt>
                <c:pt idx="1">
                  <c:v>0.0005069444444444418</c:v>
                </c:pt>
                <c:pt idx="2">
                  <c:v>0.0010300925925925963</c:v>
                </c:pt>
                <c:pt idx="3">
                  <c:v>0.0008333333333333387</c:v>
                </c:pt>
                <c:pt idx="4">
                  <c:v>0.0017939814814814867</c:v>
                </c:pt>
                <c:pt idx="5">
                  <c:v>0.0018657407407407234</c:v>
                </c:pt>
                <c:pt idx="6">
                  <c:v>0.002349537037037039</c:v>
                </c:pt>
                <c:pt idx="7">
                  <c:v>0.002592592592592591</c:v>
                </c:pt>
                <c:pt idx="8">
                  <c:v>0.0038078703703703642</c:v>
                </c:pt>
                <c:pt idx="9">
                  <c:v>0.006261574074074058</c:v>
                </c:pt>
                <c:pt idx="10">
                  <c:v>0.005300925925925903</c:v>
                </c:pt>
                <c:pt idx="11">
                  <c:v>0.0059374999999999845</c:v>
                </c:pt>
                <c:pt idx="12">
                  <c:v>0.0075925925925925675</c:v>
                </c:pt>
                <c:pt idx="13">
                  <c:v>0.007210648148148119</c:v>
                </c:pt>
              </c:numCache>
            </c:numRef>
          </c:val>
          <c:smooth val="0"/>
        </c:ser>
        <c:marker val="1"/>
        <c:axId val="62054549"/>
        <c:axId val="21620030"/>
      </c:lineChart>
      <c:catAx>
        <c:axId val="62054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20030"/>
        <c:crosses val="autoZero"/>
        <c:auto val="1"/>
        <c:lblOffset val="100"/>
        <c:noMultiLvlLbl val="0"/>
      </c:catAx>
      <c:valAx>
        <c:axId val="21620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Minutes Behind Lead Team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8100">
            <a:solidFill/>
          </a:ln>
        </c:spPr>
        <c:crossAx val="62054549"/>
        <c:crossesAt val="1"/>
        <c:crossBetween val="between"/>
        <c:dispUnits/>
      </c:valAx>
      <c:spPr>
        <a:gradFill rotWithShape="1">
          <a:gsLst>
            <a:gs pos="0">
              <a:srgbClr val="FF6600"/>
            </a:gs>
            <a:gs pos="50000">
              <a:srgbClr val="FFCC99"/>
            </a:gs>
            <a:gs pos="100000">
              <a:srgbClr val="FF66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42" customWidth="1"/>
    <col min="2" max="2" width="29.8515625" style="143" customWidth="1"/>
    <col min="3" max="3" width="4.7109375" style="143" customWidth="1"/>
    <col min="4" max="4" width="20.7109375" style="142" customWidth="1"/>
    <col min="5" max="5" width="4.7109375" style="143" customWidth="1"/>
    <col min="6" max="6" width="20.7109375" style="142" customWidth="1"/>
    <col min="7" max="7" width="4.7109375" style="143" customWidth="1"/>
    <col min="8" max="8" width="20.7109375" style="142" customWidth="1"/>
    <col min="9" max="9" width="4.7109375" style="143" customWidth="1"/>
    <col min="10" max="10" width="20.7109375" style="142" customWidth="1"/>
    <col min="11" max="11" width="17.421875" style="142" customWidth="1"/>
    <col min="12" max="16" width="9.140625" style="142" customWidth="1"/>
    <col min="17" max="16384" width="9.140625" style="144" customWidth="1"/>
  </cols>
  <sheetData>
    <row r="1" spans="1:16" s="145" customFormat="1" ht="12.75">
      <c r="A1" s="32"/>
      <c r="B1" s="33"/>
      <c r="C1" s="33"/>
      <c r="D1" s="32"/>
      <c r="E1" s="33"/>
      <c r="F1" s="32"/>
      <c r="G1" s="33"/>
      <c r="H1" s="32"/>
      <c r="I1" s="33"/>
      <c r="J1" s="32"/>
      <c r="K1" s="32"/>
      <c r="L1" s="32"/>
      <c r="M1" s="32"/>
      <c r="N1" s="32"/>
      <c r="O1" s="32"/>
      <c r="P1" s="32"/>
    </row>
    <row r="2" spans="1:16" s="146" customFormat="1" ht="19.5" customHeight="1">
      <c r="A2" s="38"/>
      <c r="B2" s="40" t="s">
        <v>44</v>
      </c>
      <c r="C2" s="41" t="s">
        <v>4</v>
      </c>
      <c r="D2" s="41"/>
      <c r="E2" s="41" t="s">
        <v>1</v>
      </c>
      <c r="F2" s="41"/>
      <c r="G2" s="41" t="s">
        <v>2</v>
      </c>
      <c r="H2" s="41"/>
      <c r="I2" s="41" t="s">
        <v>3</v>
      </c>
      <c r="J2" s="41"/>
      <c r="K2" s="166" t="s">
        <v>70</v>
      </c>
      <c r="L2" s="38"/>
      <c r="M2" s="38"/>
      <c r="N2" s="38"/>
      <c r="O2" s="38"/>
      <c r="P2" s="38"/>
    </row>
    <row r="3" spans="1:16" s="147" customFormat="1" ht="18.75" customHeight="1">
      <c r="A3" s="39"/>
      <c r="B3" s="169" t="s">
        <v>87</v>
      </c>
      <c r="C3" s="164">
        <v>1</v>
      </c>
      <c r="D3" s="43" t="str">
        <f aca="true" t="shared" si="0" ref="D3:D9">VLOOKUP(C3,$I$12:$J$39,2,FALSE)</f>
        <v>Dan Hornery</v>
      </c>
      <c r="E3" s="42">
        <v>14</v>
      </c>
      <c r="F3" s="43" t="str">
        <f aca="true" t="shared" si="1" ref="F3:F9">VLOOKUP(E3,$I$12:$J$39,2,FALSE)</f>
        <v>Anthony Mithen</v>
      </c>
      <c r="G3" s="42">
        <v>15</v>
      </c>
      <c r="H3" s="43" t="str">
        <f>VLOOKUP(G3,$I$12:$J$39,2,FALSE)</f>
        <v>Wayne Williams</v>
      </c>
      <c r="I3" s="42">
        <v>28</v>
      </c>
      <c r="J3" s="165" t="str">
        <f>VLOOKUP(I3,$I$12:$J$39,2,FALSE)</f>
        <v>Scott Bales</v>
      </c>
      <c r="K3" s="167">
        <f>+C3+E3+G3+I3</f>
        <v>58</v>
      </c>
      <c r="L3" s="38"/>
      <c r="M3" s="39"/>
      <c r="N3" s="39"/>
      <c r="O3" s="39"/>
      <c r="P3" s="39"/>
    </row>
    <row r="4" spans="1:16" s="147" customFormat="1" ht="18.75" customHeight="1">
      <c r="A4" s="39"/>
      <c r="B4" s="169" t="s">
        <v>88</v>
      </c>
      <c r="C4" s="164">
        <v>2</v>
      </c>
      <c r="D4" s="43" t="str">
        <f t="shared" si="0"/>
        <v>Colin Thornton</v>
      </c>
      <c r="E4" s="42">
        <v>13</v>
      </c>
      <c r="F4" s="43" t="str">
        <f t="shared" si="1"/>
        <v>Bruce Arthur</v>
      </c>
      <c r="G4" s="42">
        <v>16</v>
      </c>
      <c r="H4" s="43" t="str">
        <f aca="true" t="shared" si="2" ref="H4:J9">VLOOKUP(G4,$I$12:$J$39,2,FALSE)</f>
        <v>Anthony Weiland</v>
      </c>
      <c r="I4" s="42">
        <v>27</v>
      </c>
      <c r="J4" s="165" t="str">
        <f t="shared" si="2"/>
        <v>Jim Grelis</v>
      </c>
      <c r="K4" s="167">
        <f aca="true" t="shared" si="3" ref="K4:K9">+C4+E4+G4+I4</f>
        <v>58</v>
      </c>
      <c r="L4" s="38"/>
      <c r="M4" s="39"/>
      <c r="N4" s="39"/>
      <c r="O4" s="39"/>
      <c r="P4" s="39"/>
    </row>
    <row r="5" spans="1:16" s="147" customFormat="1" ht="18.75" customHeight="1">
      <c r="A5" s="39"/>
      <c r="B5" s="169" t="s">
        <v>89</v>
      </c>
      <c r="C5" s="164">
        <v>3</v>
      </c>
      <c r="D5" s="43" t="str">
        <f t="shared" si="0"/>
        <v>Brett Coleman</v>
      </c>
      <c r="E5" s="42">
        <v>10</v>
      </c>
      <c r="F5" s="43" t="str">
        <f t="shared" si="1"/>
        <v>Shane Fielding</v>
      </c>
      <c r="G5" s="42">
        <v>18</v>
      </c>
      <c r="H5" s="43" t="str">
        <f t="shared" si="2"/>
        <v>Charles Chambers</v>
      </c>
      <c r="I5" s="42">
        <v>26</v>
      </c>
      <c r="J5" s="165" t="str">
        <f t="shared" si="2"/>
        <v>Matt Lowth</v>
      </c>
      <c r="K5" s="167">
        <f t="shared" si="3"/>
        <v>57</v>
      </c>
      <c r="L5" s="38"/>
      <c r="M5" s="39"/>
      <c r="N5" s="39"/>
      <c r="O5" s="39"/>
      <c r="P5" s="39"/>
    </row>
    <row r="6" spans="1:16" s="147" customFormat="1" ht="18.75" customHeight="1">
      <c r="A6" s="39"/>
      <c r="B6" s="169" t="s">
        <v>90</v>
      </c>
      <c r="C6" s="164">
        <v>4</v>
      </c>
      <c r="D6" s="43" t="str">
        <f t="shared" si="0"/>
        <v>Paul Martinico</v>
      </c>
      <c r="E6" s="42">
        <v>12</v>
      </c>
      <c r="F6" s="43" t="str">
        <f t="shared" si="1"/>
        <v>Anthony Lee</v>
      </c>
      <c r="G6" s="42">
        <v>17</v>
      </c>
      <c r="H6" s="43" t="str">
        <f t="shared" si="2"/>
        <v>Ian Dent</v>
      </c>
      <c r="I6" s="42">
        <v>25</v>
      </c>
      <c r="J6" s="165" t="str">
        <f t="shared" si="2"/>
        <v>Craig Harris</v>
      </c>
      <c r="K6" s="167">
        <f t="shared" si="3"/>
        <v>58</v>
      </c>
      <c r="L6" s="168"/>
      <c r="M6" s="39"/>
      <c r="N6" s="39"/>
      <c r="O6" s="39"/>
      <c r="P6" s="39"/>
    </row>
    <row r="7" spans="1:16" s="147" customFormat="1" ht="18.75" customHeight="1">
      <c r="A7" s="39"/>
      <c r="B7" s="169" t="s">
        <v>91</v>
      </c>
      <c r="C7" s="164">
        <v>5</v>
      </c>
      <c r="D7" s="43" t="str">
        <f t="shared" si="0"/>
        <v>Troy Williams</v>
      </c>
      <c r="E7" s="42">
        <v>9</v>
      </c>
      <c r="F7" s="43" t="str">
        <f t="shared" si="1"/>
        <v>Nic Gilbert</v>
      </c>
      <c r="G7" s="42">
        <v>20</v>
      </c>
      <c r="H7" s="43" t="str">
        <f t="shared" si="2"/>
        <v>Tony Dell</v>
      </c>
      <c r="I7" s="42">
        <v>24</v>
      </c>
      <c r="J7" s="165" t="str">
        <f t="shared" si="2"/>
        <v>Kirsten Jackson</v>
      </c>
      <c r="K7" s="167">
        <f t="shared" si="3"/>
        <v>58</v>
      </c>
      <c r="L7" s="38"/>
      <c r="M7" s="39"/>
      <c r="N7" s="39"/>
      <c r="O7" s="39"/>
      <c r="P7" s="39"/>
    </row>
    <row r="8" spans="1:16" ht="18.75" customHeight="1">
      <c r="A8" s="34"/>
      <c r="B8" s="169" t="s">
        <v>92</v>
      </c>
      <c r="C8" s="164">
        <v>6</v>
      </c>
      <c r="D8" s="43" t="str">
        <f t="shared" si="0"/>
        <v>Stephen Paine</v>
      </c>
      <c r="E8" s="42">
        <v>8</v>
      </c>
      <c r="F8" s="43" t="str">
        <f t="shared" si="1"/>
        <v>David Venour</v>
      </c>
      <c r="G8" s="42">
        <v>19</v>
      </c>
      <c r="H8" s="43" t="str">
        <f t="shared" si="2"/>
        <v>Luke Goodman</v>
      </c>
      <c r="I8" s="42">
        <v>21</v>
      </c>
      <c r="J8" s="165" t="str">
        <f t="shared" si="2"/>
        <v>Thai Phan</v>
      </c>
      <c r="K8" s="167">
        <f t="shared" si="3"/>
        <v>54</v>
      </c>
      <c r="L8" s="38"/>
      <c r="M8" s="34"/>
      <c r="N8" s="34"/>
      <c r="O8" s="34"/>
      <c r="P8" s="34"/>
    </row>
    <row r="9" spans="1:16" ht="18.75" customHeight="1">
      <c r="A9" s="34"/>
      <c r="B9" s="169" t="s">
        <v>93</v>
      </c>
      <c r="C9" s="164">
        <v>7</v>
      </c>
      <c r="D9" s="43" t="str">
        <f t="shared" si="0"/>
        <v>Matt Sandilands</v>
      </c>
      <c r="E9" s="42">
        <v>11</v>
      </c>
      <c r="F9" s="43" t="str">
        <f t="shared" si="1"/>
        <v>Richard Does</v>
      </c>
      <c r="G9" s="42">
        <v>22</v>
      </c>
      <c r="H9" s="43" t="str">
        <f t="shared" si="2"/>
        <v>Juanita Liston</v>
      </c>
      <c r="I9" s="42">
        <v>23</v>
      </c>
      <c r="J9" s="165" t="str">
        <f t="shared" si="2"/>
        <v>Gary O'Dwyer</v>
      </c>
      <c r="K9" s="167">
        <f t="shared" si="3"/>
        <v>63</v>
      </c>
      <c r="L9" s="38"/>
      <c r="M9" s="34"/>
      <c r="N9" s="34"/>
      <c r="O9" s="34"/>
      <c r="P9" s="34"/>
    </row>
    <row r="10" spans="1:16" ht="12.75">
      <c r="A10" s="34"/>
      <c r="B10" s="44"/>
      <c r="C10" s="34"/>
      <c r="D10" s="34"/>
      <c r="E10" s="36"/>
      <c r="F10" s="34"/>
      <c r="G10" s="36"/>
      <c r="H10" s="34"/>
      <c r="I10" s="36"/>
      <c r="J10" s="34"/>
      <c r="K10" s="34"/>
      <c r="L10" s="34"/>
      <c r="M10" s="34"/>
      <c r="N10" s="34"/>
      <c r="O10" s="34"/>
      <c r="P10" s="34"/>
    </row>
    <row r="11" spans="1:16" ht="12.75">
      <c r="A11" s="34"/>
      <c r="B11" s="44"/>
      <c r="C11" s="34"/>
      <c r="D11" s="34"/>
      <c r="E11" s="36"/>
      <c r="F11" s="34"/>
      <c r="G11" s="36"/>
      <c r="H11" s="34"/>
      <c r="I11" s="170" t="s">
        <v>69</v>
      </c>
      <c r="J11" s="170"/>
      <c r="K11" s="34"/>
      <c r="L11" s="34"/>
      <c r="M11" s="34"/>
      <c r="N11" s="34"/>
      <c r="O11" s="34"/>
      <c r="P11" s="34"/>
    </row>
    <row r="12" spans="1:16" ht="12.75">
      <c r="A12" s="34"/>
      <c r="B12" s="44"/>
      <c r="C12" s="34"/>
      <c r="D12" s="34"/>
      <c r="E12" s="36"/>
      <c r="F12" s="34"/>
      <c r="G12" s="36"/>
      <c r="H12" s="34"/>
      <c r="I12" s="45">
        <v>1</v>
      </c>
      <c r="J12" s="46" t="s">
        <v>73</v>
      </c>
      <c r="K12" s="34"/>
      <c r="L12" s="34"/>
      <c r="M12" s="34"/>
      <c r="N12" s="34"/>
      <c r="O12" s="34"/>
      <c r="P12" s="34"/>
    </row>
    <row r="13" spans="1:16" ht="12.75">
      <c r="A13" s="34"/>
      <c r="B13" s="44"/>
      <c r="C13" s="34"/>
      <c r="D13" s="34"/>
      <c r="E13" s="36"/>
      <c r="F13" s="34"/>
      <c r="G13" s="36"/>
      <c r="H13" s="34"/>
      <c r="I13" s="45">
        <v>2</v>
      </c>
      <c r="J13" s="46" t="s">
        <v>74</v>
      </c>
      <c r="K13" s="34"/>
      <c r="L13" s="34"/>
      <c r="M13" s="34"/>
      <c r="N13" s="34"/>
      <c r="O13" s="34"/>
      <c r="P13" s="34"/>
    </row>
    <row r="14" spans="1:16" ht="12.75">
      <c r="A14" s="34"/>
      <c r="B14" s="44"/>
      <c r="C14" s="34"/>
      <c r="D14" s="34"/>
      <c r="E14" s="36"/>
      <c r="F14" s="34"/>
      <c r="G14" s="36"/>
      <c r="H14" s="34"/>
      <c r="I14" s="45">
        <v>3</v>
      </c>
      <c r="J14" s="46" t="s">
        <v>76</v>
      </c>
      <c r="K14" s="34"/>
      <c r="L14" s="34"/>
      <c r="M14" s="34"/>
      <c r="N14" s="34"/>
      <c r="O14" s="34"/>
      <c r="P14" s="34"/>
    </row>
    <row r="15" spans="1:16" ht="12.75">
      <c r="A15" s="34"/>
      <c r="B15" s="44"/>
      <c r="C15" s="34"/>
      <c r="D15" s="34"/>
      <c r="E15" s="36"/>
      <c r="F15" s="34"/>
      <c r="G15" s="36"/>
      <c r="H15" s="34"/>
      <c r="I15" s="45">
        <v>4</v>
      </c>
      <c r="J15" s="46" t="s">
        <v>57</v>
      </c>
      <c r="K15" s="34"/>
      <c r="L15" s="34"/>
      <c r="M15" s="34"/>
      <c r="N15" s="34"/>
      <c r="O15" s="34"/>
      <c r="P15" s="34"/>
    </row>
    <row r="16" spans="1:16" ht="12.75">
      <c r="A16" s="34"/>
      <c r="B16" s="44"/>
      <c r="C16" s="34"/>
      <c r="D16" s="34"/>
      <c r="E16" s="36"/>
      <c r="F16" s="34"/>
      <c r="G16" s="36"/>
      <c r="H16" s="34"/>
      <c r="I16" s="45">
        <v>5</v>
      </c>
      <c r="J16" s="46" t="s">
        <v>60</v>
      </c>
      <c r="K16" s="34"/>
      <c r="L16" s="34"/>
      <c r="M16" s="34"/>
      <c r="N16" s="34"/>
      <c r="O16" s="34"/>
      <c r="P16" s="34"/>
    </row>
    <row r="17" spans="1:16" ht="12.75">
      <c r="A17" s="34"/>
      <c r="B17" s="44"/>
      <c r="C17" s="34"/>
      <c r="D17" s="34"/>
      <c r="E17" s="36"/>
      <c r="F17" s="34"/>
      <c r="G17" s="36"/>
      <c r="H17" s="34"/>
      <c r="I17" s="45">
        <v>6</v>
      </c>
      <c r="J17" s="46" t="s">
        <v>83</v>
      </c>
      <c r="K17" s="34"/>
      <c r="L17" s="34"/>
      <c r="M17" s="34"/>
      <c r="N17" s="34"/>
      <c r="O17" s="34"/>
      <c r="P17" s="34"/>
    </row>
    <row r="18" spans="1:16" ht="12.75">
      <c r="A18" s="34"/>
      <c r="B18" s="44"/>
      <c r="C18" s="34"/>
      <c r="D18" s="34"/>
      <c r="E18" s="36"/>
      <c r="F18" s="34"/>
      <c r="G18" s="36"/>
      <c r="H18" s="34"/>
      <c r="I18" s="45">
        <v>7</v>
      </c>
      <c r="J18" s="46" t="s">
        <v>63</v>
      </c>
      <c r="K18" s="34"/>
      <c r="L18" s="34"/>
      <c r="M18" s="34"/>
      <c r="N18" s="34"/>
      <c r="O18" s="34"/>
      <c r="P18" s="34"/>
    </row>
    <row r="19" spans="1:16" ht="12.75">
      <c r="A19" s="34"/>
      <c r="B19" s="44"/>
      <c r="C19" s="34"/>
      <c r="D19" s="34"/>
      <c r="E19" s="36"/>
      <c r="F19" s="34"/>
      <c r="G19" s="36"/>
      <c r="H19" s="34"/>
      <c r="I19" s="45">
        <v>8</v>
      </c>
      <c r="J19" s="46" t="s">
        <v>56</v>
      </c>
      <c r="K19" s="34"/>
      <c r="L19" s="34"/>
      <c r="M19" s="34"/>
      <c r="N19" s="34"/>
      <c r="O19" s="34"/>
      <c r="P19" s="34"/>
    </row>
    <row r="20" spans="1:16" ht="12.75">
      <c r="A20" s="34"/>
      <c r="B20" s="44"/>
      <c r="C20" s="34"/>
      <c r="D20" s="34"/>
      <c r="E20" s="36"/>
      <c r="F20" s="34"/>
      <c r="G20" s="36"/>
      <c r="H20" s="34"/>
      <c r="I20" s="45">
        <v>9</v>
      </c>
      <c r="J20" s="46" t="s">
        <v>81</v>
      </c>
      <c r="K20" s="34"/>
      <c r="L20" s="34"/>
      <c r="M20" s="34"/>
      <c r="N20" s="34"/>
      <c r="O20" s="34"/>
      <c r="P20" s="34"/>
    </row>
    <row r="21" spans="1:16" ht="12.75">
      <c r="A21" s="34"/>
      <c r="B21" s="44"/>
      <c r="C21" s="34"/>
      <c r="D21" s="34"/>
      <c r="E21" s="36"/>
      <c r="F21" s="34"/>
      <c r="G21" s="36"/>
      <c r="H21" s="34"/>
      <c r="I21" s="45">
        <v>10</v>
      </c>
      <c r="J21" s="46" t="s">
        <v>64</v>
      </c>
      <c r="K21" s="34"/>
      <c r="L21" s="34"/>
      <c r="M21" s="34"/>
      <c r="N21" s="34"/>
      <c r="O21" s="34"/>
      <c r="P21" s="34"/>
    </row>
    <row r="22" spans="1:16" ht="12.75">
      <c r="A22" s="34"/>
      <c r="B22" s="44"/>
      <c r="C22" s="34"/>
      <c r="D22" s="34"/>
      <c r="E22" s="36"/>
      <c r="F22" s="34"/>
      <c r="G22" s="36"/>
      <c r="H22" s="34"/>
      <c r="I22" s="45">
        <v>11</v>
      </c>
      <c r="J22" s="46" t="s">
        <v>85</v>
      </c>
      <c r="K22" s="34"/>
      <c r="L22" s="34"/>
      <c r="M22" s="34"/>
      <c r="N22" s="34"/>
      <c r="O22" s="34"/>
      <c r="P22" s="34"/>
    </row>
    <row r="23" spans="1:16" ht="12.75">
      <c r="A23" s="34"/>
      <c r="B23" s="44"/>
      <c r="C23" s="34"/>
      <c r="D23" s="34"/>
      <c r="E23" s="36"/>
      <c r="F23" s="34"/>
      <c r="G23" s="36"/>
      <c r="H23" s="34"/>
      <c r="I23" s="45">
        <v>12</v>
      </c>
      <c r="J23" s="46" t="s">
        <v>58</v>
      </c>
      <c r="K23" s="34"/>
      <c r="L23" s="34"/>
      <c r="M23" s="34"/>
      <c r="N23" s="34"/>
      <c r="O23" s="34"/>
      <c r="P23" s="34"/>
    </row>
    <row r="24" spans="1:16" ht="12.75">
      <c r="A24" s="34"/>
      <c r="B24" s="35"/>
      <c r="C24" s="36"/>
      <c r="D24" s="34"/>
      <c r="E24" s="36"/>
      <c r="F24" s="34"/>
      <c r="G24" s="36"/>
      <c r="H24" s="34"/>
      <c r="I24" s="45">
        <v>13</v>
      </c>
      <c r="J24" s="46" t="s">
        <v>75</v>
      </c>
      <c r="K24" s="34"/>
      <c r="L24" s="34"/>
      <c r="M24" s="34"/>
      <c r="N24" s="34"/>
      <c r="O24" s="34"/>
      <c r="P24" s="34"/>
    </row>
    <row r="25" spans="1:16" ht="12.75">
      <c r="A25" s="34"/>
      <c r="B25" s="35"/>
      <c r="C25" s="36"/>
      <c r="D25" s="34"/>
      <c r="E25" s="36"/>
      <c r="F25" s="34"/>
      <c r="G25" s="36"/>
      <c r="H25" s="34"/>
      <c r="I25" s="45">
        <v>14</v>
      </c>
      <c r="J25" s="46" t="s">
        <v>62</v>
      </c>
      <c r="K25" s="34"/>
      <c r="L25" s="34"/>
      <c r="M25" s="34"/>
      <c r="N25" s="34"/>
      <c r="O25" s="34"/>
      <c r="P25" s="34"/>
    </row>
    <row r="26" spans="1:16" ht="12.75">
      <c r="A26" s="34"/>
      <c r="B26" s="35"/>
      <c r="C26" s="36"/>
      <c r="D26" s="34"/>
      <c r="E26" s="36"/>
      <c r="F26" s="34"/>
      <c r="G26" s="36"/>
      <c r="H26" s="34"/>
      <c r="I26" s="45">
        <v>15</v>
      </c>
      <c r="J26" s="46" t="s">
        <v>59</v>
      </c>
      <c r="K26" s="34"/>
      <c r="L26" s="34"/>
      <c r="M26" s="34"/>
      <c r="N26" s="34"/>
      <c r="O26" s="34"/>
      <c r="P26" s="34"/>
    </row>
    <row r="27" spans="1:16" ht="12.75">
      <c r="A27" s="34"/>
      <c r="B27" s="36"/>
      <c r="C27" s="36"/>
      <c r="D27" s="34"/>
      <c r="E27" s="36"/>
      <c r="F27" s="34"/>
      <c r="G27" s="36"/>
      <c r="H27" s="34"/>
      <c r="I27" s="45">
        <v>16</v>
      </c>
      <c r="J27" s="46" t="s">
        <v>61</v>
      </c>
      <c r="K27" s="34"/>
      <c r="L27" s="34"/>
      <c r="M27" s="34"/>
      <c r="N27" s="34"/>
      <c r="O27" s="34"/>
      <c r="P27" s="34"/>
    </row>
    <row r="28" spans="1:16" ht="12.75">
      <c r="A28" s="34"/>
      <c r="B28" s="36"/>
      <c r="C28" s="36"/>
      <c r="D28" s="34"/>
      <c r="E28" s="36"/>
      <c r="F28" s="34"/>
      <c r="G28" s="36"/>
      <c r="H28" s="34"/>
      <c r="I28" s="45">
        <v>17</v>
      </c>
      <c r="J28" s="46" t="s">
        <v>79</v>
      </c>
      <c r="K28" s="34"/>
      <c r="L28" s="34"/>
      <c r="M28" s="34"/>
      <c r="N28" s="34"/>
      <c r="O28" s="34"/>
      <c r="P28" s="34"/>
    </row>
    <row r="29" spans="1:16" ht="12.75">
      <c r="A29" s="34"/>
      <c r="B29" s="36"/>
      <c r="C29" s="36"/>
      <c r="D29" s="34"/>
      <c r="E29" s="36"/>
      <c r="F29" s="34"/>
      <c r="G29" s="36"/>
      <c r="H29" s="34"/>
      <c r="I29" s="45">
        <v>18</v>
      </c>
      <c r="J29" s="46" t="s">
        <v>77</v>
      </c>
      <c r="K29" s="34"/>
      <c r="L29" s="34"/>
      <c r="M29" s="34"/>
      <c r="N29" s="34"/>
      <c r="O29" s="34"/>
      <c r="P29" s="34"/>
    </row>
    <row r="30" spans="1:16" ht="12.75">
      <c r="A30" s="34"/>
      <c r="B30" s="36"/>
      <c r="C30" s="36"/>
      <c r="D30" s="34"/>
      <c r="E30" s="36"/>
      <c r="F30" s="34"/>
      <c r="G30" s="36"/>
      <c r="H30" s="34"/>
      <c r="I30" s="45">
        <v>19</v>
      </c>
      <c r="J30" s="46" t="s">
        <v>84</v>
      </c>
      <c r="K30" s="34"/>
      <c r="L30" s="34"/>
      <c r="M30" s="34"/>
      <c r="N30" s="34"/>
      <c r="O30" s="34"/>
      <c r="P30" s="34"/>
    </row>
    <row r="31" spans="1:16" ht="12.75">
      <c r="A31" s="34"/>
      <c r="B31" s="36"/>
      <c r="C31" s="36"/>
      <c r="D31" s="37"/>
      <c r="E31" s="36"/>
      <c r="F31" s="37"/>
      <c r="G31" s="36"/>
      <c r="H31" s="34"/>
      <c r="I31" s="45">
        <v>20</v>
      </c>
      <c r="J31" s="46" t="s">
        <v>65</v>
      </c>
      <c r="K31" s="34"/>
      <c r="L31" s="34"/>
      <c r="M31" s="34"/>
      <c r="N31" s="34"/>
      <c r="O31" s="34"/>
      <c r="P31" s="34"/>
    </row>
    <row r="32" spans="1:16" ht="12.75">
      <c r="A32" s="34"/>
      <c r="B32" s="36"/>
      <c r="C32" s="36"/>
      <c r="D32" s="37"/>
      <c r="E32" s="36"/>
      <c r="F32" s="37"/>
      <c r="G32" s="36"/>
      <c r="H32" s="34"/>
      <c r="I32" s="45">
        <v>21</v>
      </c>
      <c r="J32" s="46" t="s">
        <v>66</v>
      </c>
      <c r="K32" s="34"/>
      <c r="L32" s="34"/>
      <c r="M32" s="34"/>
      <c r="N32" s="34"/>
      <c r="O32" s="34"/>
      <c r="P32" s="34"/>
    </row>
    <row r="33" spans="1:16" ht="12.75">
      <c r="A33" s="34"/>
      <c r="B33" s="36"/>
      <c r="C33" s="36"/>
      <c r="D33" s="37"/>
      <c r="E33" s="36"/>
      <c r="F33" s="37"/>
      <c r="G33" s="36"/>
      <c r="H33" s="34"/>
      <c r="I33" s="45">
        <v>22</v>
      </c>
      <c r="J33" s="46" t="s">
        <v>86</v>
      </c>
      <c r="K33" s="34"/>
      <c r="L33" s="34"/>
      <c r="M33" s="34"/>
      <c r="N33" s="34"/>
      <c r="O33" s="34"/>
      <c r="P33" s="34"/>
    </row>
    <row r="34" spans="1:16" ht="12.75">
      <c r="A34" s="34"/>
      <c r="B34" s="36"/>
      <c r="C34" s="36"/>
      <c r="D34" s="37"/>
      <c r="E34" s="36"/>
      <c r="F34" s="37"/>
      <c r="G34" s="36"/>
      <c r="H34" s="34"/>
      <c r="I34" s="45">
        <v>23</v>
      </c>
      <c r="J34" s="46" t="s">
        <v>55</v>
      </c>
      <c r="K34" s="34"/>
      <c r="L34" s="34"/>
      <c r="M34" s="34"/>
      <c r="N34" s="34"/>
      <c r="O34" s="34"/>
      <c r="P34" s="34"/>
    </row>
    <row r="35" spans="1:16" ht="12.75">
      <c r="A35" s="34"/>
      <c r="B35" s="36"/>
      <c r="C35" s="36"/>
      <c r="D35" s="37"/>
      <c r="E35" s="36"/>
      <c r="F35" s="37"/>
      <c r="G35" s="36"/>
      <c r="H35" s="34"/>
      <c r="I35" s="45">
        <v>24</v>
      </c>
      <c r="J35" s="46" t="s">
        <v>82</v>
      </c>
      <c r="K35" s="34"/>
      <c r="L35" s="34"/>
      <c r="M35" s="34"/>
      <c r="N35" s="34"/>
      <c r="O35" s="34"/>
      <c r="P35" s="34"/>
    </row>
    <row r="36" spans="1:16" ht="12.75">
      <c r="A36" s="34"/>
      <c r="B36" s="36"/>
      <c r="C36" s="36"/>
      <c r="D36" s="37"/>
      <c r="E36" s="36"/>
      <c r="F36" s="37"/>
      <c r="G36" s="36"/>
      <c r="H36" s="34"/>
      <c r="I36" s="45">
        <v>25</v>
      </c>
      <c r="J36" s="46" t="s">
        <v>80</v>
      </c>
      <c r="K36" s="34"/>
      <c r="L36" s="34"/>
      <c r="M36" s="34"/>
      <c r="N36" s="34"/>
      <c r="O36" s="34"/>
      <c r="P36" s="34"/>
    </row>
    <row r="37" spans="1:16" ht="12.75">
      <c r="A37" s="34"/>
      <c r="B37" s="36"/>
      <c r="C37" s="36"/>
      <c r="D37" s="34"/>
      <c r="E37" s="36"/>
      <c r="F37" s="34"/>
      <c r="G37" s="36"/>
      <c r="H37" s="34"/>
      <c r="I37" s="45">
        <v>26</v>
      </c>
      <c r="J37" s="46" t="s">
        <v>78</v>
      </c>
      <c r="K37" s="34"/>
      <c r="L37" s="34"/>
      <c r="M37" s="34"/>
      <c r="N37" s="34"/>
      <c r="O37" s="34"/>
      <c r="P37" s="34"/>
    </row>
    <row r="38" spans="1:16" ht="12.75">
      <c r="A38" s="34"/>
      <c r="B38" s="36"/>
      <c r="C38" s="36"/>
      <c r="D38" s="34"/>
      <c r="E38" s="36"/>
      <c r="F38" s="34"/>
      <c r="G38" s="36"/>
      <c r="H38" s="34"/>
      <c r="I38" s="45">
        <v>27</v>
      </c>
      <c r="J38" s="46" t="s">
        <v>45</v>
      </c>
      <c r="K38" s="34"/>
      <c r="L38" s="34"/>
      <c r="M38" s="34"/>
      <c r="N38" s="34"/>
      <c r="O38" s="34"/>
      <c r="P38" s="34"/>
    </row>
    <row r="39" spans="1:16" ht="12.75">
      <c r="A39" s="34"/>
      <c r="B39" s="36"/>
      <c r="C39" s="36"/>
      <c r="D39" s="34"/>
      <c r="E39" s="36"/>
      <c r="F39" s="34"/>
      <c r="G39" s="36"/>
      <c r="H39" s="34"/>
      <c r="I39" s="45">
        <v>28</v>
      </c>
      <c r="J39" s="46" t="s">
        <v>67</v>
      </c>
      <c r="K39" s="34"/>
      <c r="L39" s="34"/>
      <c r="M39" s="34"/>
      <c r="N39" s="34"/>
      <c r="O39" s="34"/>
      <c r="P39" s="34"/>
    </row>
    <row r="40" spans="1:16" ht="12.75">
      <c r="A40" s="34"/>
      <c r="B40" s="36"/>
      <c r="C40" s="36"/>
      <c r="D40" s="34"/>
      <c r="E40" s="36"/>
      <c r="F40" s="34"/>
      <c r="G40" s="36"/>
      <c r="H40" s="34"/>
      <c r="I40" s="36"/>
      <c r="J40" s="34"/>
      <c r="K40" s="34"/>
      <c r="L40" s="34"/>
      <c r="M40" s="34"/>
      <c r="N40" s="34"/>
      <c r="O40" s="34"/>
      <c r="P40" s="34"/>
    </row>
    <row r="41" spans="1:16" ht="12.75">
      <c r="A41" s="34"/>
      <c r="B41" s="36"/>
      <c r="C41" s="36"/>
      <c r="D41" s="34"/>
      <c r="E41" s="36"/>
      <c r="F41" s="34"/>
      <c r="G41" s="36"/>
      <c r="H41" s="34"/>
      <c r="I41" s="36"/>
      <c r="J41" s="34"/>
      <c r="K41" s="34"/>
      <c r="L41" s="34"/>
      <c r="M41" s="34"/>
      <c r="N41" s="34"/>
      <c r="O41" s="34"/>
      <c r="P41" s="34"/>
    </row>
    <row r="42" spans="1:16" ht="12.75">
      <c r="A42" s="34"/>
      <c r="B42" s="36"/>
      <c r="C42" s="36"/>
      <c r="D42" s="34"/>
      <c r="E42" s="36"/>
      <c r="F42" s="34"/>
      <c r="G42" s="36"/>
      <c r="H42" s="34"/>
      <c r="I42" s="36"/>
      <c r="J42" s="34"/>
      <c r="K42" s="34"/>
      <c r="L42" s="34"/>
      <c r="M42" s="34"/>
      <c r="N42" s="34"/>
      <c r="O42" s="34"/>
      <c r="P42" s="34"/>
    </row>
    <row r="43" spans="1:16" ht="12.75">
      <c r="A43" s="34"/>
      <c r="B43" s="36"/>
      <c r="C43" s="36"/>
      <c r="D43" s="34"/>
      <c r="E43" s="36"/>
      <c r="F43" s="34"/>
      <c r="G43" s="36"/>
      <c r="H43" s="34"/>
      <c r="I43" s="36"/>
      <c r="J43" s="34"/>
      <c r="K43" s="34"/>
      <c r="L43" s="34"/>
      <c r="M43" s="34"/>
      <c r="N43" s="34"/>
      <c r="O43" s="34"/>
      <c r="P43" s="34"/>
    </row>
  </sheetData>
  <mergeCells count="1">
    <mergeCell ref="I11:J11"/>
  </mergeCells>
  <dataValidations count="1">
    <dataValidation type="list" allowBlank="1" showInputMessage="1" showErrorMessage="1" promptTitle="Select Runner" prompt="from list" sqref="J10:J11">
      <formula1>$D$9:$D$26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M87"/>
  <sheetViews>
    <sheetView tabSelected="1" zoomScale="75" zoomScaleNormal="75" workbookViewId="0" topLeftCell="A1">
      <pane xSplit="7" topLeftCell="H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4.140625" style="59" customWidth="1"/>
    <col min="2" max="2" width="9.7109375" style="60" customWidth="1"/>
    <col min="3" max="3" width="4.7109375" style="61" customWidth="1"/>
    <col min="4" max="4" width="1.7109375" style="62" customWidth="1"/>
    <col min="5" max="5" width="9.7109375" style="60" customWidth="1"/>
    <col min="6" max="6" width="4.7109375" style="60" customWidth="1"/>
    <col min="7" max="7" width="1.7109375" style="62" customWidth="1"/>
    <col min="8" max="8" width="15.7109375" style="62" customWidth="1"/>
    <col min="9" max="9" width="5.7109375" style="65" customWidth="1"/>
    <col min="10" max="10" width="5.7109375" style="62" customWidth="1"/>
    <col min="11" max="11" width="5.7109375" style="64" customWidth="1"/>
    <col min="12" max="12" width="1.7109375" style="62" customWidth="1"/>
    <col min="13" max="13" width="15.7109375" style="62" customWidth="1"/>
    <col min="14" max="14" width="5.7109375" style="65" customWidth="1"/>
    <col min="15" max="15" width="5.7109375" style="62" customWidth="1"/>
    <col min="16" max="16" width="5.7109375" style="64" customWidth="1"/>
    <col min="17" max="17" width="1.7109375" style="62" customWidth="1"/>
    <col min="18" max="18" width="21.421875" style="134" hidden="1" customWidth="1"/>
    <col min="19" max="19" width="8.8515625" style="137" hidden="1" customWidth="1"/>
    <col min="20" max="20" width="10.140625" style="134" hidden="1" customWidth="1"/>
    <col min="21" max="21" width="7.7109375" style="136" hidden="1" customWidth="1"/>
    <col min="22" max="22" width="6.28125" style="62" customWidth="1"/>
    <col min="23" max="23" width="15.7109375" style="62" customWidth="1"/>
    <col min="24" max="24" width="5.7109375" style="65" customWidth="1"/>
    <col min="25" max="25" width="5.7109375" style="62" customWidth="1"/>
    <col min="26" max="26" width="5.7109375" style="64" customWidth="1"/>
    <col min="27" max="27" width="1.7109375" style="62" customWidth="1"/>
    <col min="28" max="28" width="15.7109375" style="62" customWidth="1"/>
    <col min="29" max="29" width="5.7109375" style="65" customWidth="1"/>
    <col min="30" max="30" width="5.7109375" style="62" customWidth="1"/>
    <col min="31" max="31" width="5.7109375" style="64" customWidth="1"/>
    <col min="32" max="32" width="1.7109375" style="62" customWidth="1"/>
    <col min="33" max="33" width="15.7109375" style="62" customWidth="1"/>
    <col min="34" max="34" width="5.7109375" style="65" customWidth="1"/>
    <col min="35" max="35" width="5.7109375" style="62" customWidth="1"/>
    <col min="36" max="36" width="5.7109375" style="64" customWidth="1"/>
    <col min="37" max="37" width="1.7109375" style="62" customWidth="1"/>
    <col min="38" max="38" width="15.7109375" style="62" customWidth="1"/>
    <col min="39" max="39" width="5.7109375" style="65" customWidth="1"/>
    <col min="40" max="40" width="5.7109375" style="62" customWidth="1"/>
    <col min="41" max="41" width="5.7109375" style="64" customWidth="1"/>
    <col min="42" max="42" width="1.7109375" style="62" customWidth="1"/>
    <col min="43" max="43" width="15.7109375" style="62" customWidth="1"/>
    <col min="44" max="44" width="5.7109375" style="65" customWidth="1"/>
    <col min="45" max="45" width="5.7109375" style="62" customWidth="1"/>
    <col min="46" max="46" width="5.7109375" style="64" customWidth="1"/>
    <col min="47" max="47" width="1.7109375" style="62" customWidth="1"/>
    <col min="48" max="48" width="15.7109375" style="62" customWidth="1"/>
    <col min="49" max="49" width="5.7109375" style="65" customWidth="1"/>
    <col min="50" max="50" width="5.7109375" style="62" customWidth="1"/>
    <col min="51" max="51" width="5.7109375" style="64" customWidth="1"/>
    <col min="52" max="52" width="1.7109375" style="62" customWidth="1"/>
    <col min="53" max="53" width="15.7109375" style="62" customWidth="1"/>
    <col min="54" max="54" width="5.7109375" style="65" customWidth="1"/>
    <col min="55" max="55" width="5.7109375" style="62" customWidth="1"/>
    <col min="56" max="56" width="5.7109375" style="64" customWidth="1"/>
    <col min="57" max="57" width="1.7109375" style="62" customWidth="1"/>
    <col min="58" max="58" width="16.7109375" style="62" customWidth="1"/>
    <col min="59" max="59" width="6.7109375" style="65" customWidth="1"/>
    <col min="60" max="60" width="6.7109375" style="62" customWidth="1"/>
    <col min="61" max="61" width="6.7109375" style="64" customWidth="1"/>
    <col min="62" max="62" width="1.7109375" style="62" customWidth="1"/>
    <col min="63" max="63" width="16.7109375" style="62" customWidth="1"/>
    <col min="64" max="64" width="6.7109375" style="65" customWidth="1"/>
    <col min="65" max="65" width="6.7109375" style="62" customWidth="1"/>
    <col min="66" max="66" width="6.7109375" style="64" customWidth="1"/>
    <col min="67" max="67" width="1.7109375" style="62" customWidth="1"/>
    <col min="68" max="68" width="16.7109375" style="62" customWidth="1"/>
    <col min="69" max="69" width="6.7109375" style="65" customWidth="1"/>
    <col min="70" max="70" width="6.7109375" style="62" customWidth="1"/>
    <col min="71" max="71" width="6.7109375" style="64" customWidth="1"/>
    <col min="72" max="72" width="1.7109375" style="62" customWidth="1"/>
    <col min="73" max="73" width="16.7109375" style="62" customWidth="1"/>
    <col min="74" max="74" width="6.7109375" style="65" customWidth="1"/>
    <col min="75" max="75" width="6.7109375" style="62" customWidth="1"/>
    <col min="76" max="76" width="6.7109375" style="64" customWidth="1"/>
    <col min="77" max="77" width="1.7109375" style="62" customWidth="1"/>
    <col min="78" max="78" width="16.7109375" style="62" customWidth="1"/>
    <col min="79" max="79" width="6.7109375" style="65" customWidth="1"/>
    <col min="80" max="80" width="6.7109375" style="62" customWidth="1"/>
    <col min="81" max="81" width="6.7109375" style="64" customWidth="1"/>
    <col min="82" max="82" width="1.7109375" style="62" customWidth="1"/>
    <col min="83" max="83" width="16.7109375" style="62" customWidth="1"/>
    <col min="84" max="84" width="6.7109375" style="65" customWidth="1"/>
    <col min="85" max="85" width="6.7109375" style="62" customWidth="1"/>
    <col min="86" max="86" width="6.7109375" style="64" customWidth="1"/>
    <col min="87" max="87" width="1.7109375" style="62" customWidth="1"/>
    <col min="88" max="88" width="16.7109375" style="62" customWidth="1"/>
    <col min="89" max="89" width="6.7109375" style="65" customWidth="1"/>
    <col min="90" max="90" width="6.7109375" style="62" customWidth="1"/>
    <col min="91" max="91" width="6.7109375" style="64" customWidth="1"/>
    <col min="92" max="92" width="1.7109375" style="62" customWidth="1"/>
    <col min="93" max="16384" width="9.140625" style="62" customWidth="1"/>
  </cols>
  <sheetData>
    <row r="2" spans="1:91" s="81" customFormat="1" ht="19.5" customHeight="1">
      <c r="A2" s="80"/>
      <c r="B2" s="47"/>
      <c r="C2" s="48"/>
      <c r="E2" s="47"/>
      <c r="F2" s="47"/>
      <c r="H2" s="67" t="s">
        <v>46</v>
      </c>
      <c r="I2" s="72">
        <v>3</v>
      </c>
      <c r="J2" s="73" t="s">
        <v>9</v>
      </c>
      <c r="K2" s="88" t="s">
        <v>11</v>
      </c>
      <c r="M2" s="67" t="s">
        <v>47</v>
      </c>
      <c r="N2" s="72">
        <f>Dist1</f>
        <v>3</v>
      </c>
      <c r="O2" s="73" t="s">
        <v>9</v>
      </c>
      <c r="P2" s="88" t="s">
        <v>11</v>
      </c>
      <c r="R2" s="122" t="s">
        <v>5</v>
      </c>
      <c r="S2" s="123">
        <f>Dist1</f>
        <v>3</v>
      </c>
      <c r="T2" s="124" t="s">
        <v>9</v>
      </c>
      <c r="U2" s="125" t="s">
        <v>11</v>
      </c>
      <c r="W2" s="67" t="s">
        <v>12</v>
      </c>
      <c r="X2" s="72">
        <v>3.6</v>
      </c>
      <c r="Y2" s="73" t="s">
        <v>9</v>
      </c>
      <c r="Z2" s="88" t="s">
        <v>11</v>
      </c>
      <c r="AB2" s="67" t="s">
        <v>13</v>
      </c>
      <c r="AC2" s="72">
        <v>3.9</v>
      </c>
      <c r="AD2" s="73" t="s">
        <v>9</v>
      </c>
      <c r="AE2" s="88" t="s">
        <v>11</v>
      </c>
      <c r="AG2" s="67" t="s">
        <v>14</v>
      </c>
      <c r="AH2" s="72">
        <v>4.2</v>
      </c>
      <c r="AI2" s="73" t="s">
        <v>9</v>
      </c>
      <c r="AJ2" s="88" t="s">
        <v>11</v>
      </c>
      <c r="AL2" s="67" t="s">
        <v>15</v>
      </c>
      <c r="AM2" s="72">
        <v>4.7</v>
      </c>
      <c r="AN2" s="73" t="s">
        <v>9</v>
      </c>
      <c r="AO2" s="88" t="s">
        <v>11</v>
      </c>
      <c r="AQ2" s="67" t="s">
        <v>16</v>
      </c>
      <c r="AR2" s="72">
        <v>3.25</v>
      </c>
      <c r="AS2" s="73" t="s">
        <v>9</v>
      </c>
      <c r="AT2" s="88" t="s">
        <v>11</v>
      </c>
      <c r="AV2" s="67" t="s">
        <v>17</v>
      </c>
      <c r="AW2" s="72">
        <v>3.7</v>
      </c>
      <c r="AX2" s="73" t="s">
        <v>9</v>
      </c>
      <c r="AY2" s="88" t="s">
        <v>11</v>
      </c>
      <c r="BA2" s="47"/>
      <c r="BB2" s="50"/>
      <c r="BC2" s="51"/>
      <c r="BD2" s="52"/>
      <c r="BG2" s="82"/>
      <c r="BI2" s="83"/>
      <c r="BL2" s="82"/>
      <c r="BN2" s="83"/>
      <c r="BQ2" s="82"/>
      <c r="BS2" s="83"/>
      <c r="BV2" s="82"/>
      <c r="BX2" s="83"/>
      <c r="CA2" s="82"/>
      <c r="CC2" s="83"/>
      <c r="CF2" s="82"/>
      <c r="CH2" s="83"/>
      <c r="CK2" s="82"/>
      <c r="CM2" s="83"/>
    </row>
    <row r="3" spans="1:91" s="81" customFormat="1" ht="19.5" customHeight="1">
      <c r="A3" s="66" t="s">
        <v>0</v>
      </c>
      <c r="B3" s="67" t="s">
        <v>19</v>
      </c>
      <c r="C3" s="68" t="s">
        <v>10</v>
      </c>
      <c r="E3" s="67" t="s">
        <v>20</v>
      </c>
      <c r="F3" s="68" t="s">
        <v>10</v>
      </c>
      <c r="H3" s="74" t="s">
        <v>6</v>
      </c>
      <c r="I3" s="75" t="s">
        <v>7</v>
      </c>
      <c r="J3" s="89" t="s">
        <v>8</v>
      </c>
      <c r="K3" s="90" t="s">
        <v>10</v>
      </c>
      <c r="M3" s="74" t="s">
        <v>6</v>
      </c>
      <c r="N3" s="75" t="s">
        <v>7</v>
      </c>
      <c r="O3" s="89" t="s">
        <v>8</v>
      </c>
      <c r="P3" s="90" t="s">
        <v>10</v>
      </c>
      <c r="R3" s="126" t="s">
        <v>54</v>
      </c>
      <c r="S3" s="127" t="s">
        <v>7</v>
      </c>
      <c r="T3" s="128" t="s">
        <v>8</v>
      </c>
      <c r="U3" s="129" t="s">
        <v>10</v>
      </c>
      <c r="W3" s="74" t="s">
        <v>6</v>
      </c>
      <c r="X3" s="75" t="s">
        <v>7</v>
      </c>
      <c r="Y3" s="89" t="s">
        <v>8</v>
      </c>
      <c r="Z3" s="90" t="s">
        <v>10</v>
      </c>
      <c r="AB3" s="74" t="s">
        <v>6</v>
      </c>
      <c r="AC3" s="75" t="s">
        <v>7</v>
      </c>
      <c r="AD3" s="89" t="s">
        <v>8</v>
      </c>
      <c r="AE3" s="90" t="s">
        <v>10</v>
      </c>
      <c r="AG3" s="74" t="s">
        <v>6</v>
      </c>
      <c r="AH3" s="75" t="s">
        <v>7</v>
      </c>
      <c r="AI3" s="89" t="s">
        <v>8</v>
      </c>
      <c r="AJ3" s="90" t="s">
        <v>10</v>
      </c>
      <c r="AL3" s="74" t="s">
        <v>6</v>
      </c>
      <c r="AM3" s="75" t="s">
        <v>7</v>
      </c>
      <c r="AN3" s="89" t="s">
        <v>8</v>
      </c>
      <c r="AO3" s="90" t="s">
        <v>10</v>
      </c>
      <c r="AQ3" s="74" t="s">
        <v>6</v>
      </c>
      <c r="AR3" s="75" t="s">
        <v>7</v>
      </c>
      <c r="AS3" s="89" t="s">
        <v>8</v>
      </c>
      <c r="AT3" s="90" t="s">
        <v>10</v>
      </c>
      <c r="AV3" s="74" t="s">
        <v>6</v>
      </c>
      <c r="AW3" s="75" t="s">
        <v>7</v>
      </c>
      <c r="AX3" s="89" t="s">
        <v>8</v>
      </c>
      <c r="AY3" s="90" t="s">
        <v>10</v>
      </c>
      <c r="BA3" s="53"/>
      <c r="BB3" s="54"/>
      <c r="BC3" s="52"/>
      <c r="BD3" s="52"/>
      <c r="BG3" s="82"/>
      <c r="BI3" s="83"/>
      <c r="BL3" s="82"/>
      <c r="BN3" s="83"/>
      <c r="BQ3" s="82"/>
      <c r="BS3" s="83"/>
      <c r="BV3" s="82"/>
      <c r="BX3" s="83"/>
      <c r="CA3" s="82"/>
      <c r="CC3" s="83"/>
      <c r="CF3" s="82"/>
      <c r="CH3" s="83"/>
      <c r="CK3" s="82"/>
      <c r="CM3" s="83"/>
    </row>
    <row r="4" spans="1:56" s="49" customFormat="1" ht="19.5" customHeight="1">
      <c r="A4" s="69" t="s">
        <v>87</v>
      </c>
      <c r="B4" s="70">
        <f aca="true" t="shared" si="0" ref="B4:B10">SUM(E4,E14)</f>
        <v>0.15412037037037038</v>
      </c>
      <c r="C4" s="71">
        <f>RANK(B4,B$4:B$10,2)</f>
        <v>2</v>
      </c>
      <c r="E4" s="70">
        <f aca="true" t="shared" si="1" ref="E4:E10">SUM(I4,N4,X4,AC4,AH4,AM4,AR4,AW4)</f>
        <v>0.07572916666666667</v>
      </c>
      <c r="F4" s="71">
        <f>RANK(E4,E$4:E$10,2)</f>
        <v>2</v>
      </c>
      <c r="H4" s="76" t="s">
        <v>73</v>
      </c>
      <c r="I4" s="77">
        <v>0.006944444444444444</v>
      </c>
      <c r="J4" s="30">
        <f aca="true" t="shared" si="2" ref="J4:J10">I4/Dist1</f>
        <v>0.0023148148148148147</v>
      </c>
      <c r="K4" s="31">
        <f>IF(I4&gt;0,RANK(I4,H$58:H$71,1),)</f>
        <v>1</v>
      </c>
      <c r="M4" s="76" t="s">
        <v>62</v>
      </c>
      <c r="N4" s="77">
        <v>0.007824074074074075</v>
      </c>
      <c r="O4" s="30">
        <f aca="true" t="shared" si="3" ref="O4:O10">N4/Dist1</f>
        <v>0.002608024691358025</v>
      </c>
      <c r="P4" s="31">
        <f>IF(N4&gt;0,RANK(N4,H$58:H$71,1),)</f>
        <v>12</v>
      </c>
      <c r="R4" s="130" t="str">
        <f aca="true" t="shared" si="4" ref="R4:R10">CONCATENATE(H4," &amp; ",M4)</f>
        <v>Dan Hornery &amp; Anthony Mithen</v>
      </c>
      <c r="S4" s="131">
        <f aca="true" t="shared" si="5" ref="S4:S10">I4+N4</f>
        <v>0.01476851851851852</v>
      </c>
      <c r="T4" s="132">
        <f aca="true" t="shared" si="6" ref="T4:T10">S4/($S$2*2)</f>
        <v>0.00246141975308642</v>
      </c>
      <c r="U4" s="133">
        <f>IF(S4&gt;0,RANK(S4,S4:S8,1),)</f>
        <v>1</v>
      </c>
      <c r="W4" s="76" t="s">
        <v>67</v>
      </c>
      <c r="X4" s="77">
        <v>0.010497685185185186</v>
      </c>
      <c r="Y4" s="30">
        <f aca="true" t="shared" si="7" ref="Y4:Y10">X4/Dist2</f>
        <v>0.0029160236625514406</v>
      </c>
      <c r="Z4" s="31">
        <f>IF(X4&gt;0,RANK(X4,X$4:X$10,1),)</f>
        <v>5</v>
      </c>
      <c r="AB4" s="76" t="s">
        <v>59</v>
      </c>
      <c r="AC4" s="77">
        <v>0.010219907407407408</v>
      </c>
      <c r="AD4" s="30">
        <f aca="true" t="shared" si="8" ref="AD4:AD10">AC4/Dist3</f>
        <v>0.0026204890788224123</v>
      </c>
      <c r="AE4" s="31">
        <f>IF(AC4&gt;0,RANK(AC4,AC$4:AC$10,1),)</f>
        <v>3</v>
      </c>
      <c r="AG4" s="76" t="s">
        <v>62</v>
      </c>
      <c r="AH4" s="77">
        <v>0.010636574074074074</v>
      </c>
      <c r="AI4" s="30">
        <f aca="true" t="shared" si="9" ref="AI4:AI10">AH4/Dist4</f>
        <v>0.002532517636684303</v>
      </c>
      <c r="AJ4" s="31">
        <f>IF(AH4&gt;0,RANK(AH4,AH$4:AH$10,1),)</f>
        <v>7</v>
      </c>
      <c r="AL4" s="76" t="s">
        <v>73</v>
      </c>
      <c r="AM4" s="77">
        <v>0.009768518518518518</v>
      </c>
      <c r="AN4" s="30">
        <f aca="true" t="shared" si="10" ref="AN4:AN10">AM4/Dist5</f>
        <v>0.002078408195429472</v>
      </c>
      <c r="AO4" s="31">
        <f>IF(AM4&gt;0,RANK(AM4,AM$4:AM$10,1),)</f>
        <v>1</v>
      </c>
      <c r="AQ4" s="76" t="s">
        <v>67</v>
      </c>
      <c r="AR4" s="77">
        <v>0.010787037037037038</v>
      </c>
      <c r="AS4" s="30">
        <f aca="true" t="shared" si="11" ref="AS4:AS10">AR4/Dist6</f>
        <v>0.003319088319088319</v>
      </c>
      <c r="AT4" s="31">
        <f>IF(AR4&gt;0,RANK(AR4,AR$4:AR$10,1),)</f>
        <v>5</v>
      </c>
      <c r="AV4" s="76" t="s">
        <v>59</v>
      </c>
      <c r="AW4" s="77">
        <v>0.009050925925925926</v>
      </c>
      <c r="AX4" s="30">
        <f aca="true" t="shared" si="12" ref="AX4:AX10">AW4/Dist7</f>
        <v>0.002446196196196196</v>
      </c>
      <c r="AY4" s="31">
        <f>IF(AW4&gt;0,RANK(AW4,AW$4:AW$10,1),)</f>
        <v>3</v>
      </c>
      <c r="BA4" s="55"/>
      <c r="BB4" s="56"/>
      <c r="BC4" s="57"/>
      <c r="BD4" s="58"/>
    </row>
    <row r="5" spans="1:56" s="49" customFormat="1" ht="19.5" customHeight="1">
      <c r="A5" s="69" t="s">
        <v>88</v>
      </c>
      <c r="B5" s="70">
        <f t="shared" si="0"/>
        <v>0.16045138888888888</v>
      </c>
      <c r="C5" s="71">
        <f aca="true" t="shared" si="13" ref="C5:C10">RANK(B5,B$4:B$10,2)</f>
        <v>6</v>
      </c>
      <c r="E5" s="70">
        <f t="shared" si="1"/>
        <v>0.07814814814814815</v>
      </c>
      <c r="F5" s="71">
        <f aca="true" t="shared" si="14" ref="F5:F10">RANK(E5,E$4:E$10,2)</f>
        <v>6</v>
      </c>
      <c r="H5" s="76" t="s">
        <v>74</v>
      </c>
      <c r="I5" s="77">
        <v>0.007523148148148148</v>
      </c>
      <c r="J5" s="30">
        <f t="shared" si="2"/>
        <v>0.002507716049382716</v>
      </c>
      <c r="K5" s="31">
        <f aca="true" t="shared" si="15" ref="K5:K10">IF(I5&gt;0,RANK(I5,H$58:H$71,1),)</f>
        <v>7</v>
      </c>
      <c r="M5" s="76" t="s">
        <v>75</v>
      </c>
      <c r="N5" s="77">
        <v>0.007962962962962963</v>
      </c>
      <c r="O5" s="30">
        <f t="shared" si="3"/>
        <v>0.002654320987654321</v>
      </c>
      <c r="P5" s="31">
        <f aca="true" t="shared" si="16" ref="P5:P10">IF(N5&gt;0,RANK(N5,H$58:H$71,1),)</f>
        <v>13</v>
      </c>
      <c r="R5" s="130" t="str">
        <f t="shared" si="4"/>
        <v>Colin Thornton &amp; Bruce Arthur</v>
      </c>
      <c r="S5" s="131">
        <f t="shared" si="5"/>
        <v>0.01548611111111111</v>
      </c>
      <c r="T5" s="132">
        <f t="shared" si="6"/>
        <v>0.0025810185185185185</v>
      </c>
      <c r="U5" s="133">
        <f>IF(S5&gt;0,RANK(S5,S4:S8,1),)</f>
        <v>5</v>
      </c>
      <c r="W5" s="76" t="s">
        <v>45</v>
      </c>
      <c r="X5" s="77">
        <v>0.010810185185185185</v>
      </c>
      <c r="Y5" s="30">
        <f t="shared" si="7"/>
        <v>0.003002829218106996</v>
      </c>
      <c r="Z5" s="31">
        <f aca="true" t="shared" si="17" ref="Z5:Z10">IF(X5&gt;0,RANK(X5,X$4:X$10,1),)</f>
        <v>6</v>
      </c>
      <c r="AB5" s="76" t="s">
        <v>61</v>
      </c>
      <c r="AC5" s="77">
        <v>0.01005787037037037</v>
      </c>
      <c r="AD5" s="30">
        <f t="shared" si="8"/>
        <v>0.002578941120607787</v>
      </c>
      <c r="AE5" s="31">
        <f aca="true" t="shared" si="18" ref="AE5:AE10">IF(AC5&gt;0,RANK(AC5,AC$4:AC$10,1),)</f>
        <v>2</v>
      </c>
      <c r="AG5" s="76" t="s">
        <v>75</v>
      </c>
      <c r="AH5" s="77">
        <v>0.010497685185185186</v>
      </c>
      <c r="AI5" s="30">
        <f t="shared" si="9"/>
        <v>0.0024994488536155203</v>
      </c>
      <c r="AJ5" s="31">
        <f aca="true" t="shared" si="19" ref="AJ5:AJ10">IF(AH5&gt;0,RANK(AH5,AH$4:AH$10,1),)</f>
        <v>6</v>
      </c>
      <c r="AL5" s="76" t="s">
        <v>74</v>
      </c>
      <c r="AM5" s="77">
        <v>0.010729166666666666</v>
      </c>
      <c r="AN5" s="30">
        <f t="shared" si="10"/>
        <v>0.002282801418439716</v>
      </c>
      <c r="AO5" s="31">
        <f aca="true" t="shared" si="20" ref="AO5:AO10">IF(AM5&gt;0,RANK(AM5,AM$4:AM$10,1),)</f>
        <v>5</v>
      </c>
      <c r="AQ5" s="76" t="s">
        <v>45</v>
      </c>
      <c r="AR5" s="77">
        <v>0.011666666666666667</v>
      </c>
      <c r="AS5" s="30">
        <f t="shared" si="11"/>
        <v>0.0035897435897435897</v>
      </c>
      <c r="AT5" s="31">
        <f aca="true" t="shared" si="21" ref="AT5:AT10">IF(AR5&gt;0,RANK(AR5,AR$4:AR$10,1),)</f>
        <v>6</v>
      </c>
      <c r="AV5" s="76" t="s">
        <v>61</v>
      </c>
      <c r="AW5" s="77">
        <v>0.008900462962962962</v>
      </c>
      <c r="AX5" s="30">
        <f t="shared" si="12"/>
        <v>0.0024055305305305304</v>
      </c>
      <c r="AY5" s="31">
        <f aca="true" t="shared" si="22" ref="AY5:AY10">IF(AW5&gt;0,RANK(AW5,AW$4:AW$10,1),)</f>
        <v>2</v>
      </c>
      <c r="BA5" s="55"/>
      <c r="BB5" s="56"/>
      <c r="BC5" s="57"/>
      <c r="BD5" s="58"/>
    </row>
    <row r="6" spans="1:56" s="49" customFormat="1" ht="19.5" customHeight="1">
      <c r="A6" s="69" t="s">
        <v>89</v>
      </c>
      <c r="B6" s="70">
        <f t="shared" si="0"/>
        <v>0.16107638888888887</v>
      </c>
      <c r="C6" s="71">
        <f t="shared" si="13"/>
        <v>7</v>
      </c>
      <c r="E6" s="70">
        <f t="shared" si="1"/>
        <v>0.07946759259259259</v>
      </c>
      <c r="F6" s="71">
        <f t="shared" si="14"/>
        <v>7</v>
      </c>
      <c r="H6" s="76" t="s">
        <v>76</v>
      </c>
      <c r="I6" s="77">
        <v>0.007256944444444444</v>
      </c>
      <c r="J6" s="30">
        <f t="shared" si="2"/>
        <v>0.0024189814814814816</v>
      </c>
      <c r="K6" s="31">
        <f t="shared" si="15"/>
        <v>2</v>
      </c>
      <c r="M6" s="76" t="s">
        <v>64</v>
      </c>
      <c r="N6" s="77">
        <v>0.007962962962962963</v>
      </c>
      <c r="O6" s="30">
        <f t="shared" si="3"/>
        <v>0.002654320987654321</v>
      </c>
      <c r="P6" s="31">
        <f t="shared" si="16"/>
        <v>13</v>
      </c>
      <c r="R6" s="130" t="str">
        <f t="shared" si="4"/>
        <v>Brett Coleman &amp; Shane Fielding</v>
      </c>
      <c r="S6" s="131">
        <f t="shared" si="5"/>
        <v>0.015219907407407408</v>
      </c>
      <c r="T6" s="132">
        <f t="shared" si="6"/>
        <v>0.002536651234567901</v>
      </c>
      <c r="U6" s="133">
        <f>IF(S6&gt;0,RANK(S6,S4:S8,1),)</f>
        <v>4</v>
      </c>
      <c r="W6" s="76" t="s">
        <v>78</v>
      </c>
      <c r="X6" s="77">
        <v>0.011458333333333334</v>
      </c>
      <c r="Y6" s="30">
        <f t="shared" si="7"/>
        <v>0.0031828703703703706</v>
      </c>
      <c r="Z6" s="31">
        <f t="shared" si="17"/>
        <v>7</v>
      </c>
      <c r="AB6" s="76" t="s">
        <v>77</v>
      </c>
      <c r="AC6" s="77">
        <v>0.010555555555555554</v>
      </c>
      <c r="AD6" s="30">
        <f t="shared" si="8"/>
        <v>0.002706552706552706</v>
      </c>
      <c r="AE6" s="31">
        <f t="shared" si="18"/>
        <v>5</v>
      </c>
      <c r="AG6" s="76" t="s">
        <v>64</v>
      </c>
      <c r="AH6" s="77">
        <v>0.010127314814814815</v>
      </c>
      <c r="AI6" s="30">
        <f t="shared" si="9"/>
        <v>0.0024112654320987653</v>
      </c>
      <c r="AJ6" s="31">
        <f t="shared" si="19"/>
        <v>3</v>
      </c>
      <c r="AL6" s="76" t="s">
        <v>76</v>
      </c>
      <c r="AM6" s="77">
        <v>0.01068287037037037</v>
      </c>
      <c r="AN6" s="30">
        <f t="shared" si="10"/>
        <v>0.0022729511426319935</v>
      </c>
      <c r="AO6" s="31">
        <f t="shared" si="20"/>
        <v>4</v>
      </c>
      <c r="AQ6" s="76" t="s">
        <v>78</v>
      </c>
      <c r="AR6" s="77">
        <v>0.011979166666666666</v>
      </c>
      <c r="AS6" s="30">
        <f t="shared" si="11"/>
        <v>0.003685897435897436</v>
      </c>
      <c r="AT6" s="31">
        <f t="shared" si="21"/>
        <v>7</v>
      </c>
      <c r="AV6" s="76" t="s">
        <v>77</v>
      </c>
      <c r="AW6" s="77">
        <v>0.009444444444444445</v>
      </c>
      <c r="AX6" s="30">
        <f t="shared" si="12"/>
        <v>0.0025525525525525524</v>
      </c>
      <c r="AY6" s="31">
        <f t="shared" si="22"/>
        <v>6</v>
      </c>
      <c r="BA6" s="55"/>
      <c r="BB6" s="56"/>
      <c r="BC6" s="57"/>
      <c r="BD6" s="58"/>
    </row>
    <row r="7" spans="1:56" s="49" customFormat="1" ht="19.5" customHeight="1">
      <c r="A7" s="69" t="s">
        <v>90</v>
      </c>
      <c r="B7" s="70">
        <f t="shared" si="0"/>
        <v>0.1528009259259259</v>
      </c>
      <c r="C7" s="71">
        <f t="shared" si="13"/>
        <v>1</v>
      </c>
      <c r="E7" s="70">
        <f t="shared" si="1"/>
        <v>0.07498842592592592</v>
      </c>
      <c r="F7" s="71">
        <f t="shared" si="14"/>
        <v>1</v>
      </c>
      <c r="H7" s="76" t="s">
        <v>57</v>
      </c>
      <c r="I7" s="77">
        <v>0.007256944444444444</v>
      </c>
      <c r="J7" s="30">
        <f t="shared" si="2"/>
        <v>0.0024189814814814816</v>
      </c>
      <c r="K7" s="31">
        <f t="shared" si="15"/>
        <v>2</v>
      </c>
      <c r="M7" s="76" t="s">
        <v>58</v>
      </c>
      <c r="N7" s="77">
        <v>0.007650462962962963</v>
      </c>
      <c r="O7" s="30">
        <f t="shared" si="3"/>
        <v>0.002550154320987654</v>
      </c>
      <c r="P7" s="31">
        <f t="shared" si="16"/>
        <v>10</v>
      </c>
      <c r="R7" s="130" t="str">
        <f t="shared" si="4"/>
        <v>Paul Martinico &amp; Anthony Lee</v>
      </c>
      <c r="S7" s="131">
        <f t="shared" si="5"/>
        <v>0.014907407407407407</v>
      </c>
      <c r="T7" s="132">
        <f t="shared" si="6"/>
        <v>0.002484567901234568</v>
      </c>
      <c r="U7" s="133">
        <f>IF(S7&gt;0,RANK(S7,S4:S8,1),)</f>
        <v>3</v>
      </c>
      <c r="W7" s="76" t="s">
        <v>80</v>
      </c>
      <c r="X7" s="77">
        <v>0.009988425925925927</v>
      </c>
      <c r="Y7" s="30">
        <f t="shared" si="7"/>
        <v>0.0027745627572016464</v>
      </c>
      <c r="Z7" s="31">
        <f t="shared" si="17"/>
        <v>4</v>
      </c>
      <c r="AB7" s="76" t="s">
        <v>79</v>
      </c>
      <c r="AC7" s="77">
        <v>0.009942129629629629</v>
      </c>
      <c r="AD7" s="30">
        <f t="shared" si="8"/>
        <v>0.0025492640075973406</v>
      </c>
      <c r="AE7" s="31">
        <f t="shared" si="18"/>
        <v>1</v>
      </c>
      <c r="AG7" s="76" t="s">
        <v>58</v>
      </c>
      <c r="AH7" s="77">
        <v>0.010231481481481482</v>
      </c>
      <c r="AI7" s="30">
        <f t="shared" si="9"/>
        <v>0.002436067019400353</v>
      </c>
      <c r="AJ7" s="31">
        <f t="shared" si="19"/>
        <v>4</v>
      </c>
      <c r="AL7" s="76" t="s">
        <v>57</v>
      </c>
      <c r="AM7" s="77">
        <v>0.010798611111111111</v>
      </c>
      <c r="AN7" s="30">
        <f t="shared" si="10"/>
        <v>0.0022975768321513</v>
      </c>
      <c r="AO7" s="31">
        <f t="shared" si="20"/>
        <v>6</v>
      </c>
      <c r="AQ7" s="76" t="s">
        <v>80</v>
      </c>
      <c r="AR7" s="77">
        <v>0.010335648148148148</v>
      </c>
      <c r="AS7" s="30">
        <f t="shared" si="11"/>
        <v>0.00318019943019943</v>
      </c>
      <c r="AT7" s="31">
        <f t="shared" si="21"/>
        <v>4</v>
      </c>
      <c r="AV7" s="76" t="s">
        <v>79</v>
      </c>
      <c r="AW7" s="77">
        <v>0.008784722222222223</v>
      </c>
      <c r="AX7" s="30">
        <f t="shared" si="12"/>
        <v>0.0023742492492492494</v>
      </c>
      <c r="AY7" s="31">
        <f t="shared" si="22"/>
        <v>1</v>
      </c>
      <c r="BA7" s="55"/>
      <c r="BB7" s="56"/>
      <c r="BC7" s="57"/>
      <c r="BD7" s="58"/>
    </row>
    <row r="8" spans="1:56" s="49" customFormat="1" ht="19.5" customHeight="1">
      <c r="A8" s="69" t="s">
        <v>91</v>
      </c>
      <c r="B8" s="70">
        <f t="shared" si="0"/>
        <v>0.15614814814814815</v>
      </c>
      <c r="C8" s="71">
        <f t="shared" si="13"/>
        <v>4</v>
      </c>
      <c r="E8" s="70">
        <f t="shared" si="1"/>
        <v>0.07627546296296298</v>
      </c>
      <c r="F8" s="71">
        <f t="shared" si="14"/>
        <v>4</v>
      </c>
      <c r="H8" s="76" t="s">
        <v>60</v>
      </c>
      <c r="I8" s="77">
        <v>0.007296296296296296</v>
      </c>
      <c r="J8" s="30">
        <f t="shared" si="2"/>
        <v>0.002432098765432099</v>
      </c>
      <c r="K8" s="31">
        <f t="shared" si="15"/>
        <v>4</v>
      </c>
      <c r="M8" s="76" t="s">
        <v>81</v>
      </c>
      <c r="N8" s="77">
        <v>0.007516203703703705</v>
      </c>
      <c r="O8" s="30">
        <f t="shared" si="3"/>
        <v>0.0025054012345679015</v>
      </c>
      <c r="P8" s="31">
        <f t="shared" si="16"/>
        <v>6</v>
      </c>
      <c r="R8" s="130" t="str">
        <f t="shared" si="4"/>
        <v>Troy Williams &amp; Nic Gilbert</v>
      </c>
      <c r="S8" s="131">
        <f t="shared" si="5"/>
        <v>0.014812500000000001</v>
      </c>
      <c r="T8" s="132">
        <f t="shared" si="6"/>
        <v>0.00246875</v>
      </c>
      <c r="U8" s="133">
        <f>IF(S8&gt;0,RANK(S8,S4:S8,1),)</f>
        <v>2</v>
      </c>
      <c r="W8" s="76" t="s">
        <v>65</v>
      </c>
      <c r="X8" s="77">
        <v>0.009726851851851851</v>
      </c>
      <c r="Y8" s="30">
        <f t="shared" si="7"/>
        <v>0.0027019032921810696</v>
      </c>
      <c r="Z8" s="31">
        <f t="shared" si="17"/>
        <v>1</v>
      </c>
      <c r="AB8" s="76" t="s">
        <v>82</v>
      </c>
      <c r="AC8" s="77">
        <v>0.01119675925925926</v>
      </c>
      <c r="AD8" s="30">
        <f t="shared" si="8"/>
        <v>0.00287096391263058</v>
      </c>
      <c r="AE8" s="31">
        <f t="shared" si="18"/>
        <v>7</v>
      </c>
      <c r="AG8" s="76" t="s">
        <v>81</v>
      </c>
      <c r="AH8" s="77">
        <v>0.009900462962962963</v>
      </c>
      <c r="AI8" s="30">
        <f t="shared" si="9"/>
        <v>0.002357253086419753</v>
      </c>
      <c r="AJ8" s="31">
        <f t="shared" si="19"/>
        <v>1</v>
      </c>
      <c r="AL8" s="76" t="s">
        <v>60</v>
      </c>
      <c r="AM8" s="77">
        <v>0.010375</v>
      </c>
      <c r="AN8" s="30">
        <f t="shared" si="10"/>
        <v>0.0022074468085106383</v>
      </c>
      <c r="AO8" s="31">
        <f t="shared" si="20"/>
        <v>2</v>
      </c>
      <c r="AQ8" s="76" t="s">
        <v>65</v>
      </c>
      <c r="AR8" s="77">
        <v>0.010108796296296296</v>
      </c>
      <c r="AS8" s="30">
        <f t="shared" si="11"/>
        <v>0.0031103988603988606</v>
      </c>
      <c r="AT8" s="31">
        <f t="shared" si="21"/>
        <v>1</v>
      </c>
      <c r="AV8" s="76" t="s">
        <v>82</v>
      </c>
      <c r="AW8" s="77">
        <v>0.010155092592592592</v>
      </c>
      <c r="AX8" s="30">
        <f t="shared" si="12"/>
        <v>0.0027446196196196193</v>
      </c>
      <c r="AY8" s="31">
        <f t="shared" si="22"/>
        <v>7</v>
      </c>
      <c r="BA8" s="55"/>
      <c r="BB8" s="56"/>
      <c r="BC8" s="57"/>
      <c r="BD8" s="58"/>
    </row>
    <row r="9" spans="1:56" s="49" customFormat="1" ht="19.5" customHeight="1">
      <c r="A9" s="69" t="s">
        <v>92</v>
      </c>
      <c r="B9" s="70">
        <f t="shared" si="0"/>
        <v>0.15569444444444444</v>
      </c>
      <c r="C9" s="71">
        <f t="shared" si="13"/>
        <v>3</v>
      </c>
      <c r="E9" s="70">
        <f t="shared" si="1"/>
        <v>0.07594907407407407</v>
      </c>
      <c r="F9" s="71">
        <f t="shared" si="14"/>
        <v>3</v>
      </c>
      <c r="H9" s="76" t="s">
        <v>83</v>
      </c>
      <c r="I9" s="77">
        <v>0.007337962962962963</v>
      </c>
      <c r="J9" s="30">
        <f t="shared" si="2"/>
        <v>0.0024459876543209877</v>
      </c>
      <c r="K9" s="31">
        <f t="shared" si="15"/>
        <v>5</v>
      </c>
      <c r="M9" s="76" t="s">
        <v>56</v>
      </c>
      <c r="N9" s="77">
        <v>0.00769675925925926</v>
      </c>
      <c r="O9" s="30">
        <f t="shared" si="3"/>
        <v>0.002565586419753087</v>
      </c>
      <c r="P9" s="31">
        <f t="shared" si="16"/>
        <v>11</v>
      </c>
      <c r="R9" s="130" t="str">
        <f t="shared" si="4"/>
        <v>Stephen Paine &amp; David Venour</v>
      </c>
      <c r="S9" s="131">
        <f t="shared" si="5"/>
        <v>0.015034722222222224</v>
      </c>
      <c r="T9" s="132">
        <f t="shared" si="6"/>
        <v>0.0025057870370370373</v>
      </c>
      <c r="U9" s="133">
        <f>IF(S9&gt;0,RANK(S9,S5:S9,1),)</f>
        <v>3</v>
      </c>
      <c r="W9" s="76" t="s">
        <v>66</v>
      </c>
      <c r="X9" s="77">
        <v>0.009814814814814814</v>
      </c>
      <c r="Y9" s="30">
        <f t="shared" si="7"/>
        <v>0.0027263374485596704</v>
      </c>
      <c r="Z9" s="31">
        <f t="shared" si="17"/>
        <v>3</v>
      </c>
      <c r="AB9" s="76" t="s">
        <v>84</v>
      </c>
      <c r="AC9" s="77">
        <v>0.010474537037037037</v>
      </c>
      <c r="AD9" s="30">
        <f t="shared" si="8"/>
        <v>0.002685778727445394</v>
      </c>
      <c r="AE9" s="31">
        <f t="shared" si="18"/>
        <v>4</v>
      </c>
      <c r="AG9" s="76" t="s">
        <v>56</v>
      </c>
      <c r="AH9" s="77">
        <v>0.010277777777777778</v>
      </c>
      <c r="AI9" s="30">
        <f t="shared" si="9"/>
        <v>0.002447089947089947</v>
      </c>
      <c r="AJ9" s="31">
        <f t="shared" si="19"/>
        <v>5</v>
      </c>
      <c r="AL9" s="76" t="s">
        <v>83</v>
      </c>
      <c r="AM9" s="77">
        <v>0.010613425925925927</v>
      </c>
      <c r="AN9" s="30">
        <f t="shared" si="10"/>
        <v>0.00225817572892041</v>
      </c>
      <c r="AO9" s="31">
        <f t="shared" si="20"/>
        <v>3</v>
      </c>
      <c r="AQ9" s="76" t="s">
        <v>66</v>
      </c>
      <c r="AR9" s="77">
        <v>0.010300925925925927</v>
      </c>
      <c r="AS9" s="30">
        <f t="shared" si="11"/>
        <v>0.00316951566951567</v>
      </c>
      <c r="AT9" s="31">
        <f t="shared" si="21"/>
        <v>2</v>
      </c>
      <c r="AV9" s="76" t="s">
        <v>84</v>
      </c>
      <c r="AW9" s="77">
        <v>0.009432870370370371</v>
      </c>
      <c r="AX9" s="30">
        <f t="shared" si="12"/>
        <v>0.0025494244244244246</v>
      </c>
      <c r="AY9" s="31">
        <f t="shared" si="22"/>
        <v>5</v>
      </c>
      <c r="BA9" s="55"/>
      <c r="BB9" s="56"/>
      <c r="BC9" s="57"/>
      <c r="BD9" s="58"/>
    </row>
    <row r="10" spans="1:56" s="49" customFormat="1" ht="19.5" customHeight="1">
      <c r="A10" s="69" t="s">
        <v>93</v>
      </c>
      <c r="B10" s="70">
        <f t="shared" si="0"/>
        <v>0.16001157407407407</v>
      </c>
      <c r="C10" s="71">
        <f t="shared" si="13"/>
        <v>5</v>
      </c>
      <c r="E10" s="70">
        <f t="shared" si="1"/>
        <v>0.07733796296296296</v>
      </c>
      <c r="F10" s="71">
        <f t="shared" si="14"/>
        <v>5</v>
      </c>
      <c r="H10" s="76" t="s">
        <v>63</v>
      </c>
      <c r="I10" s="77">
        <v>0.007627314814814815</v>
      </c>
      <c r="J10" s="30">
        <f t="shared" si="2"/>
        <v>0.0025424382716049384</v>
      </c>
      <c r="K10" s="31">
        <f t="shared" si="15"/>
        <v>8</v>
      </c>
      <c r="M10" s="76" t="s">
        <v>85</v>
      </c>
      <c r="N10" s="77">
        <v>0.007638888888888889</v>
      </c>
      <c r="O10" s="30">
        <f t="shared" si="3"/>
        <v>0.002546296296296296</v>
      </c>
      <c r="P10" s="31">
        <f t="shared" si="16"/>
        <v>9</v>
      </c>
      <c r="R10" s="130" t="str">
        <f t="shared" si="4"/>
        <v>Matt Sandilands &amp; Richard Does</v>
      </c>
      <c r="S10" s="131">
        <f t="shared" si="5"/>
        <v>0.015266203703703704</v>
      </c>
      <c r="T10" s="132">
        <f t="shared" si="6"/>
        <v>0.0025443672839506174</v>
      </c>
      <c r="U10" s="133">
        <f>IF(S10&gt;0,RANK(S10,S6:S10,1),)</f>
        <v>5</v>
      </c>
      <c r="W10" s="76" t="s">
        <v>55</v>
      </c>
      <c r="X10" s="77">
        <v>0.009780092592592592</v>
      </c>
      <c r="Y10" s="30">
        <f t="shared" si="7"/>
        <v>0.0027166923868312755</v>
      </c>
      <c r="Z10" s="31">
        <f t="shared" si="17"/>
        <v>2</v>
      </c>
      <c r="AB10" s="76" t="s">
        <v>86</v>
      </c>
      <c r="AC10" s="77">
        <v>0.01082175925925926</v>
      </c>
      <c r="AD10" s="30">
        <f t="shared" si="8"/>
        <v>0.0027748100664767334</v>
      </c>
      <c r="AE10" s="31">
        <f t="shared" si="18"/>
        <v>6</v>
      </c>
      <c r="AG10" s="76" t="s">
        <v>85</v>
      </c>
      <c r="AH10" s="77">
        <v>0.010034722222222221</v>
      </c>
      <c r="AI10" s="30">
        <f t="shared" si="9"/>
        <v>0.0023892195767195763</v>
      </c>
      <c r="AJ10" s="31">
        <f t="shared" si="19"/>
        <v>2</v>
      </c>
      <c r="AL10" s="76" t="s">
        <v>63</v>
      </c>
      <c r="AM10" s="77">
        <v>0.01175925925925926</v>
      </c>
      <c r="AN10" s="30">
        <f t="shared" si="10"/>
        <v>0.0025019700551615442</v>
      </c>
      <c r="AO10" s="31">
        <f t="shared" si="20"/>
        <v>7</v>
      </c>
      <c r="AQ10" s="76" t="s">
        <v>55</v>
      </c>
      <c r="AR10" s="77">
        <v>0.010324074074074074</v>
      </c>
      <c r="AS10" s="30">
        <f t="shared" si="11"/>
        <v>0.0031766381766381766</v>
      </c>
      <c r="AT10" s="31">
        <f t="shared" si="21"/>
        <v>3</v>
      </c>
      <c r="AV10" s="76" t="s">
        <v>86</v>
      </c>
      <c r="AW10" s="77">
        <v>0.009351851851851853</v>
      </c>
      <c r="AX10" s="30">
        <f t="shared" si="12"/>
        <v>0.0025275275275275276</v>
      </c>
      <c r="AY10" s="31">
        <f t="shared" si="22"/>
        <v>4</v>
      </c>
      <c r="BA10" s="55"/>
      <c r="BB10" s="56"/>
      <c r="BC10" s="57"/>
      <c r="BD10" s="58"/>
    </row>
    <row r="11" spans="9:90" ht="19.5" customHeight="1">
      <c r="I11" s="63"/>
      <c r="J11" s="64"/>
      <c r="N11" s="63"/>
      <c r="O11" s="64"/>
      <c r="S11" s="135"/>
      <c r="T11" s="136"/>
      <c r="X11" s="63"/>
      <c r="Y11" s="64"/>
      <c r="AC11" s="63"/>
      <c r="AD11" s="64"/>
      <c r="AH11" s="63"/>
      <c r="AI11" s="64"/>
      <c r="AM11" s="63"/>
      <c r="AN11" s="64"/>
      <c r="AR11" s="63"/>
      <c r="AS11" s="64"/>
      <c r="AW11" s="63"/>
      <c r="AX11" s="64"/>
      <c r="BB11" s="63"/>
      <c r="BC11" s="64"/>
      <c r="BG11" s="63"/>
      <c r="BH11" s="64"/>
      <c r="BL11" s="63"/>
      <c r="BM11" s="64"/>
      <c r="BQ11" s="63"/>
      <c r="BR11" s="64"/>
      <c r="BV11" s="63"/>
      <c r="BW11" s="64"/>
      <c r="CA11" s="63"/>
      <c r="CB11" s="64"/>
      <c r="CF11" s="63"/>
      <c r="CG11" s="64"/>
      <c r="CK11" s="63"/>
      <c r="CL11" s="64"/>
    </row>
    <row r="12" spans="1:91" s="81" customFormat="1" ht="19.5" customHeight="1">
      <c r="A12" s="84"/>
      <c r="B12" s="85"/>
      <c r="C12" s="86"/>
      <c r="E12" s="85"/>
      <c r="F12" s="85"/>
      <c r="H12" s="67" t="s">
        <v>48</v>
      </c>
      <c r="I12" s="72">
        <v>3</v>
      </c>
      <c r="J12" s="73" t="s">
        <v>9</v>
      </c>
      <c r="K12" s="88" t="s">
        <v>11</v>
      </c>
      <c r="M12" s="67" t="s">
        <v>49</v>
      </c>
      <c r="N12" s="72">
        <f>Dist8</f>
        <v>3</v>
      </c>
      <c r="O12" s="73" t="s">
        <v>9</v>
      </c>
      <c r="P12" s="88" t="s">
        <v>11</v>
      </c>
      <c r="R12" s="122" t="s">
        <v>18</v>
      </c>
      <c r="S12" s="123">
        <f>Dist8</f>
        <v>3</v>
      </c>
      <c r="T12" s="124" t="s">
        <v>9</v>
      </c>
      <c r="U12" s="125" t="s">
        <v>11</v>
      </c>
      <c r="W12" s="67" t="s">
        <v>21</v>
      </c>
      <c r="X12" s="72">
        <v>3.6</v>
      </c>
      <c r="Y12" s="73" t="s">
        <v>9</v>
      </c>
      <c r="Z12" s="88" t="s">
        <v>11</v>
      </c>
      <c r="AB12" s="67" t="s">
        <v>22</v>
      </c>
      <c r="AC12" s="72">
        <v>4.45</v>
      </c>
      <c r="AD12" s="73" t="s">
        <v>9</v>
      </c>
      <c r="AE12" s="88" t="s">
        <v>11</v>
      </c>
      <c r="AG12" s="67" t="s">
        <v>23</v>
      </c>
      <c r="AH12" s="72">
        <v>4</v>
      </c>
      <c r="AI12" s="73" t="s">
        <v>9</v>
      </c>
      <c r="AJ12" s="88" t="s">
        <v>11</v>
      </c>
      <c r="AL12" s="67" t="s">
        <v>24</v>
      </c>
      <c r="AM12" s="72">
        <v>4</v>
      </c>
      <c r="AN12" s="73" t="s">
        <v>9</v>
      </c>
      <c r="AO12" s="88" t="s">
        <v>11</v>
      </c>
      <c r="AQ12" s="67" t="s">
        <v>25</v>
      </c>
      <c r="AR12" s="72">
        <v>4.5</v>
      </c>
      <c r="AS12" s="73" t="s">
        <v>9</v>
      </c>
      <c r="AT12" s="88" t="s">
        <v>11</v>
      </c>
      <c r="AV12" s="67" t="s">
        <v>26</v>
      </c>
      <c r="AW12" s="72">
        <v>3.7</v>
      </c>
      <c r="AX12" s="73" t="s">
        <v>9</v>
      </c>
      <c r="AY12" s="88" t="s">
        <v>11</v>
      </c>
      <c r="BA12" s="47"/>
      <c r="BB12" s="50"/>
      <c r="BC12" s="51"/>
      <c r="BD12" s="52"/>
      <c r="BG12" s="87"/>
      <c r="BH12" s="83"/>
      <c r="BI12" s="83"/>
      <c r="BL12" s="87"/>
      <c r="BM12" s="83"/>
      <c r="BN12" s="83"/>
      <c r="BQ12" s="87"/>
      <c r="BR12" s="83"/>
      <c r="BS12" s="83"/>
      <c r="BV12" s="87"/>
      <c r="BW12" s="83"/>
      <c r="BX12" s="83"/>
      <c r="CA12" s="87"/>
      <c r="CB12" s="83"/>
      <c r="CC12" s="83"/>
      <c r="CF12" s="87"/>
      <c r="CG12" s="83"/>
      <c r="CH12" s="83"/>
      <c r="CK12" s="87"/>
      <c r="CL12" s="83"/>
      <c r="CM12" s="83"/>
    </row>
    <row r="13" spans="1:91" s="81" customFormat="1" ht="19.5" customHeight="1">
      <c r="A13" s="78" t="s">
        <v>0</v>
      </c>
      <c r="B13" s="85"/>
      <c r="C13" s="86"/>
      <c r="E13" s="67" t="s">
        <v>27</v>
      </c>
      <c r="F13" s="68" t="s">
        <v>10</v>
      </c>
      <c r="H13" s="74" t="s">
        <v>6</v>
      </c>
      <c r="I13" s="75" t="s">
        <v>7</v>
      </c>
      <c r="J13" s="89" t="s">
        <v>8</v>
      </c>
      <c r="K13" s="90" t="s">
        <v>10</v>
      </c>
      <c r="M13" s="74" t="s">
        <v>6</v>
      </c>
      <c r="N13" s="75" t="s">
        <v>7</v>
      </c>
      <c r="O13" s="89" t="s">
        <v>8</v>
      </c>
      <c r="P13" s="90" t="s">
        <v>10</v>
      </c>
      <c r="R13" s="126" t="s">
        <v>54</v>
      </c>
      <c r="S13" s="127" t="s">
        <v>7</v>
      </c>
      <c r="T13" s="128" t="s">
        <v>8</v>
      </c>
      <c r="U13" s="129" t="s">
        <v>10</v>
      </c>
      <c r="W13" s="74" t="s">
        <v>6</v>
      </c>
      <c r="X13" s="75" t="s">
        <v>7</v>
      </c>
      <c r="Y13" s="89" t="s">
        <v>8</v>
      </c>
      <c r="Z13" s="90" t="s">
        <v>10</v>
      </c>
      <c r="AB13" s="74" t="s">
        <v>6</v>
      </c>
      <c r="AC13" s="75" t="s">
        <v>7</v>
      </c>
      <c r="AD13" s="89" t="s">
        <v>8</v>
      </c>
      <c r="AE13" s="90" t="s">
        <v>10</v>
      </c>
      <c r="AG13" s="74" t="s">
        <v>6</v>
      </c>
      <c r="AH13" s="75" t="s">
        <v>7</v>
      </c>
      <c r="AI13" s="89" t="s">
        <v>8</v>
      </c>
      <c r="AJ13" s="90" t="s">
        <v>10</v>
      </c>
      <c r="AL13" s="74" t="s">
        <v>6</v>
      </c>
      <c r="AM13" s="75" t="s">
        <v>7</v>
      </c>
      <c r="AN13" s="89" t="s">
        <v>8</v>
      </c>
      <c r="AO13" s="90" t="s">
        <v>10</v>
      </c>
      <c r="AQ13" s="74" t="s">
        <v>6</v>
      </c>
      <c r="AR13" s="75" t="s">
        <v>7</v>
      </c>
      <c r="AS13" s="89" t="s">
        <v>8</v>
      </c>
      <c r="AT13" s="90" t="s">
        <v>10</v>
      </c>
      <c r="AV13" s="74" t="s">
        <v>6</v>
      </c>
      <c r="AW13" s="75" t="s">
        <v>7</v>
      </c>
      <c r="AX13" s="89" t="s">
        <v>8</v>
      </c>
      <c r="AY13" s="90" t="s">
        <v>10</v>
      </c>
      <c r="BA13" s="53"/>
      <c r="BB13" s="54"/>
      <c r="BC13" s="52"/>
      <c r="BD13" s="52"/>
      <c r="BG13" s="87"/>
      <c r="BH13" s="83"/>
      <c r="BI13" s="83"/>
      <c r="BL13" s="87"/>
      <c r="BM13" s="83"/>
      <c r="BN13" s="83"/>
      <c r="BQ13" s="87"/>
      <c r="BR13" s="83"/>
      <c r="BS13" s="83"/>
      <c r="BV13" s="87"/>
      <c r="BW13" s="83"/>
      <c r="BX13" s="83"/>
      <c r="CA13" s="87"/>
      <c r="CB13" s="83"/>
      <c r="CC13" s="83"/>
      <c r="CF13" s="87"/>
      <c r="CG13" s="83"/>
      <c r="CH13" s="83"/>
      <c r="CK13" s="87"/>
      <c r="CL13" s="83"/>
      <c r="CM13" s="83"/>
    </row>
    <row r="14" spans="1:90" ht="19.5" customHeight="1">
      <c r="A14" s="79" t="str">
        <f aca="true" t="shared" si="23" ref="A14:A20">A4</f>
        <v>The Asthmatics + Dan</v>
      </c>
      <c r="E14" s="70">
        <f aca="true" t="shared" si="24" ref="E14:E20">SUM(I14,N14,X14,AC14,AH14,AM14,AR14,AW14)</f>
        <v>0.07839120370370371</v>
      </c>
      <c r="F14" s="71">
        <f>RANK(E14,E$14:E$20,2)</f>
        <v>2</v>
      </c>
      <c r="H14" s="76" t="s">
        <v>59</v>
      </c>
      <c r="I14" s="77">
        <v>0.007569444444444445</v>
      </c>
      <c r="J14" s="30">
        <f aca="true" t="shared" si="25" ref="J14:J20">I14/Dist8</f>
        <v>0.002523148148148148</v>
      </c>
      <c r="K14" s="31">
        <f>IF(I14&gt;0,RANK(I14,H$74:H$87,1),)</f>
        <v>3</v>
      </c>
      <c r="L14" s="49"/>
      <c r="M14" s="76" t="s">
        <v>67</v>
      </c>
      <c r="N14" s="77">
        <v>0.008912037037037038</v>
      </c>
      <c r="O14" s="30">
        <f aca="true" t="shared" si="26" ref="O14:O20">N14/Dist8</f>
        <v>0.002970679012345679</v>
      </c>
      <c r="P14" s="31">
        <f>IF(N14&gt;0,RANK(N14,H$74:H$87,1),)</f>
        <v>12</v>
      </c>
      <c r="Q14" s="49"/>
      <c r="R14" s="130" t="str">
        <f aca="true" t="shared" si="27" ref="R14:R20">CONCATENATE(H14," &amp; ",M14)</f>
        <v>Wayne Williams &amp; Scott Bales</v>
      </c>
      <c r="S14" s="131">
        <f aca="true" t="shared" si="28" ref="S14:S20">I14+N14</f>
        <v>0.016481481481481482</v>
      </c>
      <c r="T14" s="132">
        <f aca="true" t="shared" si="29" ref="T14:T20">S14/($S$12*2)</f>
        <v>0.0027469135802469136</v>
      </c>
      <c r="U14" s="133">
        <f>IF(S14&gt;0,RANK(S14,S14:S18,1),)</f>
        <v>2</v>
      </c>
      <c r="V14" s="49"/>
      <c r="W14" s="76" t="s">
        <v>73</v>
      </c>
      <c r="X14" s="77">
        <v>0.008935185185185187</v>
      </c>
      <c r="Y14" s="30">
        <f aca="true" t="shared" si="30" ref="Y14:Y20">X14/Dist9</f>
        <v>0.002481995884773663</v>
      </c>
      <c r="Z14" s="31">
        <f>IF(X14&gt;0,RANK(X14,X$14:X$20,1),)</f>
        <v>1</v>
      </c>
      <c r="AA14" s="49"/>
      <c r="AB14" s="76" t="s">
        <v>62</v>
      </c>
      <c r="AC14" s="77">
        <v>0.0109375</v>
      </c>
      <c r="AD14" s="30">
        <f aca="true" t="shared" si="31" ref="AD14:AD20">AC14/Dist10</f>
        <v>0.0024578651685393258</v>
      </c>
      <c r="AE14" s="31">
        <f>IF(AC14&gt;0,RANK(AC14,AC$14:AC$20,1),)</f>
        <v>6</v>
      </c>
      <c r="AF14" s="49"/>
      <c r="AG14" s="76" t="s">
        <v>67</v>
      </c>
      <c r="AH14" s="77">
        <v>0.010590277777777777</v>
      </c>
      <c r="AI14" s="30">
        <f aca="true" t="shared" si="32" ref="AI14:AI20">AH14/Dist11</f>
        <v>0.002647569444444444</v>
      </c>
      <c r="AJ14" s="31">
        <f>IF(AH14&gt;0,RANK(AH14,AH$14:AH$20,1),)</f>
        <v>5</v>
      </c>
      <c r="AK14" s="49"/>
      <c r="AL14" s="76" t="s">
        <v>59</v>
      </c>
      <c r="AM14" s="77">
        <v>0.011504629629629629</v>
      </c>
      <c r="AN14" s="30">
        <f aca="true" t="shared" si="33" ref="AN14:AN20">AM14/Dist12</f>
        <v>0.002876157407407407</v>
      </c>
      <c r="AO14" s="31">
        <f>IF(AM14&gt;0,RANK(AM14,AM$14:AM$20,1),)</f>
        <v>6</v>
      </c>
      <c r="AP14" s="49"/>
      <c r="AQ14" s="76" t="s">
        <v>73</v>
      </c>
      <c r="AR14" s="77">
        <v>0.010300925925925927</v>
      </c>
      <c r="AS14" s="30">
        <f aca="true" t="shared" si="34" ref="AS14:AS20">AR14/Dist13</f>
        <v>0.0022890946502057614</v>
      </c>
      <c r="AT14" s="31">
        <f>IF(AR14&gt;0,RANK(AR14,AR$14:AR$20,1),)</f>
        <v>1</v>
      </c>
      <c r="AU14" s="49"/>
      <c r="AV14" s="76" t="s">
        <v>62</v>
      </c>
      <c r="AW14" s="77">
        <v>0.009641203703703704</v>
      </c>
      <c r="AX14" s="30">
        <f aca="true" t="shared" si="35" ref="AX14:AX20">AW14/Dist14</f>
        <v>0.002605730730730731</v>
      </c>
      <c r="AY14" s="31">
        <f>IF(AW14&gt;0,RANK(AW14,AW$14:AW$20,1),)</f>
        <v>4</v>
      </c>
      <c r="AZ14" s="49"/>
      <c r="BA14" s="55"/>
      <c r="BB14" s="56"/>
      <c r="BC14" s="57"/>
      <c r="BD14" s="58"/>
      <c r="BE14" s="49"/>
      <c r="BG14" s="63"/>
      <c r="BH14" s="64"/>
      <c r="BL14" s="63"/>
      <c r="BM14" s="64"/>
      <c r="BQ14" s="63"/>
      <c r="BR14" s="64"/>
      <c r="BV14" s="63"/>
      <c r="BW14" s="64"/>
      <c r="CA14" s="63"/>
      <c r="CB14" s="64"/>
      <c r="CF14" s="63"/>
      <c r="CG14" s="64"/>
      <c r="CK14" s="63"/>
      <c r="CL14" s="64"/>
    </row>
    <row r="15" spans="1:90" ht="19.5" customHeight="1">
      <c r="A15" s="79" t="str">
        <f t="shared" si="23"/>
        <v>The Also-Rans</v>
      </c>
      <c r="E15" s="70">
        <f t="shared" si="24"/>
        <v>0.08230324074074073</v>
      </c>
      <c r="F15" s="71">
        <f aca="true" t="shared" si="36" ref="F15:F20">RANK(E15,E$14:E$20,2)</f>
        <v>6</v>
      </c>
      <c r="H15" s="76" t="s">
        <v>61</v>
      </c>
      <c r="I15" s="77">
        <v>0.007361111111111111</v>
      </c>
      <c r="J15" s="30">
        <f t="shared" si="25"/>
        <v>0.0024537037037037036</v>
      </c>
      <c r="K15" s="31">
        <f aca="true" t="shared" si="37" ref="K15:K20">IF(I15&gt;0,RANK(I15,H$74:H$87,1),)</f>
        <v>1</v>
      </c>
      <c r="L15" s="49"/>
      <c r="M15" s="76" t="s">
        <v>45</v>
      </c>
      <c r="N15" s="77">
        <v>0.009537037037037037</v>
      </c>
      <c r="O15" s="30">
        <f t="shared" si="26"/>
        <v>0.003179012345679012</v>
      </c>
      <c r="P15" s="31">
        <f aca="true" t="shared" si="38" ref="P15:P20">IF(N15&gt;0,RANK(N15,H$74:H$87,1),)</f>
        <v>13</v>
      </c>
      <c r="Q15" s="49"/>
      <c r="R15" s="130" t="str">
        <f t="shared" si="27"/>
        <v>Anthony Weiland &amp; Jim Grelis</v>
      </c>
      <c r="S15" s="131">
        <f t="shared" si="28"/>
        <v>0.016898148148148148</v>
      </c>
      <c r="T15" s="132">
        <f t="shared" si="29"/>
        <v>0.002816358024691358</v>
      </c>
      <c r="U15" s="133">
        <f>IF(S15&gt;0,RANK(S15,S14:S18,1),)</f>
        <v>4</v>
      </c>
      <c r="V15" s="49"/>
      <c r="W15" s="76" t="s">
        <v>75</v>
      </c>
      <c r="X15" s="77">
        <v>0.01068287037037037</v>
      </c>
      <c r="Y15" s="30">
        <f t="shared" si="30"/>
        <v>0.002967463991769547</v>
      </c>
      <c r="Z15" s="31">
        <f aca="true" t="shared" si="39" ref="Z15:Z20">IF(X15&gt;0,RANK(X15,X$14:X$20,1),)</f>
        <v>6</v>
      </c>
      <c r="AA15" s="49"/>
      <c r="AB15" s="76" t="s">
        <v>74</v>
      </c>
      <c r="AC15" s="77">
        <v>0.010659722222222221</v>
      </c>
      <c r="AD15" s="30">
        <f t="shared" si="31"/>
        <v>0.0023954431960049936</v>
      </c>
      <c r="AE15" s="31">
        <f aca="true" t="shared" si="40" ref="AE15:AE20">IF(AC15&gt;0,RANK(AC15,AC$14:AC$20,1),)</f>
        <v>5</v>
      </c>
      <c r="AF15" s="49"/>
      <c r="AG15" s="76" t="s">
        <v>75</v>
      </c>
      <c r="AH15" s="77">
        <v>0.00917824074074074</v>
      </c>
      <c r="AI15" s="30">
        <f t="shared" si="32"/>
        <v>0.002294560185185185</v>
      </c>
      <c r="AJ15" s="31">
        <f aca="true" t="shared" si="41" ref="AJ15:AJ20">IF(AH15&gt;0,RANK(AH15,AH$14:AH$20,1),)</f>
        <v>1</v>
      </c>
      <c r="AK15" s="49"/>
      <c r="AL15" s="76" t="s">
        <v>61</v>
      </c>
      <c r="AM15" s="77">
        <v>0.011747685185185186</v>
      </c>
      <c r="AN15" s="30">
        <f t="shared" si="33"/>
        <v>0.0029369212962962964</v>
      </c>
      <c r="AO15" s="31">
        <f aca="true" t="shared" si="42" ref="AO15:AO20">IF(AM15&gt;0,RANK(AM15,AM$14:AM$20,1),)</f>
        <v>7</v>
      </c>
      <c r="AP15" s="49"/>
      <c r="AQ15" s="76" t="s">
        <v>74</v>
      </c>
      <c r="AR15" s="77">
        <v>0.011111111111111112</v>
      </c>
      <c r="AS15" s="30">
        <f t="shared" si="34"/>
        <v>0.0024691358024691358</v>
      </c>
      <c r="AT15" s="31">
        <f aca="true" t="shared" si="43" ref="AT15:AT20">IF(AR15&gt;0,RANK(AR15,AR$14:AR$20,1),)</f>
        <v>4</v>
      </c>
      <c r="AU15" s="49"/>
      <c r="AV15" s="76" t="s">
        <v>45</v>
      </c>
      <c r="AW15" s="77">
        <v>0.012025462962962962</v>
      </c>
      <c r="AX15" s="30">
        <f t="shared" si="35"/>
        <v>0.0032501251251251246</v>
      </c>
      <c r="AY15" s="31">
        <f aca="true" t="shared" si="44" ref="AY15:AY20">IF(AW15&gt;0,RANK(AW15,AW$14:AW$20,1),)</f>
        <v>7</v>
      </c>
      <c r="AZ15" s="49"/>
      <c r="BA15" s="55"/>
      <c r="BB15" s="56"/>
      <c r="BC15" s="57"/>
      <c r="BD15" s="58"/>
      <c r="BE15" s="49"/>
      <c r="BG15" s="63"/>
      <c r="BH15" s="64"/>
      <c r="BL15" s="63"/>
      <c r="BM15" s="64"/>
      <c r="BQ15" s="63"/>
      <c r="BR15" s="64"/>
      <c r="BV15" s="63"/>
      <c r="BW15" s="64"/>
      <c r="CA15" s="63"/>
      <c r="CB15" s="64"/>
      <c r="CF15" s="63"/>
      <c r="CG15" s="64"/>
      <c r="CK15" s="63"/>
      <c r="CL15" s="64"/>
    </row>
    <row r="16" spans="1:90" ht="19.5" customHeight="1">
      <c r="A16" s="79" t="str">
        <f t="shared" si="23"/>
        <v>Coleman's Comrades</v>
      </c>
      <c r="E16" s="70">
        <f t="shared" si="24"/>
        <v>0.08160879629629629</v>
      </c>
      <c r="F16" s="71">
        <f t="shared" si="36"/>
        <v>5</v>
      </c>
      <c r="H16" s="76" t="s">
        <v>77</v>
      </c>
      <c r="I16" s="77">
        <v>0.0078125</v>
      </c>
      <c r="J16" s="30">
        <f t="shared" si="25"/>
        <v>0.0026041666666666665</v>
      </c>
      <c r="K16" s="31">
        <f t="shared" si="37"/>
        <v>4</v>
      </c>
      <c r="L16" s="49"/>
      <c r="M16" s="76" t="s">
        <v>78</v>
      </c>
      <c r="N16" s="77">
        <v>0.009791666666666666</v>
      </c>
      <c r="O16" s="30">
        <f t="shared" si="26"/>
        <v>0.0032638888888888887</v>
      </c>
      <c r="P16" s="31">
        <f t="shared" si="38"/>
        <v>14</v>
      </c>
      <c r="Q16" s="49"/>
      <c r="R16" s="130" t="str">
        <f t="shared" si="27"/>
        <v>Charles Chambers &amp; Matt Lowth</v>
      </c>
      <c r="S16" s="131">
        <f t="shared" si="28"/>
        <v>0.017604166666666664</v>
      </c>
      <c r="T16" s="132">
        <f t="shared" si="29"/>
        <v>0.002934027777777777</v>
      </c>
      <c r="U16" s="133">
        <f>IF(S16&gt;0,RANK(S16,S14:S18,1),)</f>
        <v>5</v>
      </c>
      <c r="V16" s="49"/>
      <c r="W16" s="76" t="s">
        <v>64</v>
      </c>
      <c r="X16" s="77">
        <v>0.010023148148148147</v>
      </c>
      <c r="Y16" s="30">
        <f t="shared" si="30"/>
        <v>0.002784207818930041</v>
      </c>
      <c r="Z16" s="31">
        <f t="shared" si="39"/>
        <v>4</v>
      </c>
      <c r="AA16" s="49"/>
      <c r="AB16" s="76" t="s">
        <v>76</v>
      </c>
      <c r="AC16" s="77">
        <v>0.010185185185185184</v>
      </c>
      <c r="AD16" s="30">
        <f t="shared" si="31"/>
        <v>0.002288805659592176</v>
      </c>
      <c r="AE16" s="31">
        <f t="shared" si="40"/>
        <v>3</v>
      </c>
      <c r="AF16" s="49"/>
      <c r="AG16" s="76" t="s">
        <v>78</v>
      </c>
      <c r="AH16" s="77">
        <v>0.011840277777777778</v>
      </c>
      <c r="AI16" s="30">
        <f t="shared" si="32"/>
        <v>0.0029600694444444444</v>
      </c>
      <c r="AJ16" s="31">
        <f t="shared" si="41"/>
        <v>7</v>
      </c>
      <c r="AK16" s="49"/>
      <c r="AL16" s="76" t="s">
        <v>64</v>
      </c>
      <c r="AM16" s="77">
        <v>0.011157407407407408</v>
      </c>
      <c r="AN16" s="30">
        <f t="shared" si="33"/>
        <v>0.002789351851851852</v>
      </c>
      <c r="AO16" s="31">
        <f t="shared" si="42"/>
        <v>2</v>
      </c>
      <c r="AP16" s="49"/>
      <c r="AQ16" s="76" t="s">
        <v>76</v>
      </c>
      <c r="AR16" s="77">
        <v>0.011273148148148148</v>
      </c>
      <c r="AS16" s="30">
        <f t="shared" si="34"/>
        <v>0.0025051440329218106</v>
      </c>
      <c r="AT16" s="31">
        <f t="shared" si="43"/>
        <v>5</v>
      </c>
      <c r="AU16" s="49"/>
      <c r="AV16" s="76" t="s">
        <v>77</v>
      </c>
      <c r="AW16" s="77">
        <v>0.009525462962962963</v>
      </c>
      <c r="AX16" s="30">
        <f t="shared" si="35"/>
        <v>0.0025744494494494494</v>
      </c>
      <c r="AY16" s="31">
        <f t="shared" si="44"/>
        <v>3</v>
      </c>
      <c r="AZ16" s="49"/>
      <c r="BA16" s="55"/>
      <c r="BB16" s="56"/>
      <c r="BC16" s="57"/>
      <c r="BD16" s="58"/>
      <c r="BE16" s="49"/>
      <c r="BG16" s="63"/>
      <c r="BH16" s="64"/>
      <c r="BL16" s="63"/>
      <c r="BM16" s="64"/>
      <c r="BQ16" s="63"/>
      <c r="BR16" s="64"/>
      <c r="BV16" s="63"/>
      <c r="BW16" s="64"/>
      <c r="CA16" s="63"/>
      <c r="CB16" s="64"/>
      <c r="CF16" s="63"/>
      <c r="CG16" s="64"/>
      <c r="CK16" s="63"/>
      <c r="CL16" s="64"/>
    </row>
    <row r="17" spans="1:90" ht="19.5" customHeight="1">
      <c r="A17" s="79" t="str">
        <f t="shared" si="23"/>
        <v>Team Lost</v>
      </c>
      <c r="E17" s="70">
        <f t="shared" si="24"/>
        <v>0.07781249999999998</v>
      </c>
      <c r="F17" s="71">
        <f t="shared" si="36"/>
        <v>1</v>
      </c>
      <c r="H17" s="76" t="s">
        <v>79</v>
      </c>
      <c r="I17" s="77">
        <v>0.007430555555555555</v>
      </c>
      <c r="J17" s="30">
        <f t="shared" si="25"/>
        <v>0.0024768518518518516</v>
      </c>
      <c r="K17" s="31">
        <f t="shared" si="37"/>
        <v>2</v>
      </c>
      <c r="L17" s="49"/>
      <c r="M17" s="76" t="s">
        <v>80</v>
      </c>
      <c r="N17" s="77">
        <v>0.008414351851851852</v>
      </c>
      <c r="O17" s="30">
        <f t="shared" si="26"/>
        <v>0.002804783950617284</v>
      </c>
      <c r="P17" s="31">
        <f t="shared" si="38"/>
        <v>9</v>
      </c>
      <c r="Q17" s="49"/>
      <c r="R17" s="130" t="str">
        <f t="shared" si="27"/>
        <v>Ian Dent &amp; Craig Harris</v>
      </c>
      <c r="S17" s="131">
        <f t="shared" si="28"/>
        <v>0.015844907407407405</v>
      </c>
      <c r="T17" s="132">
        <f t="shared" si="29"/>
        <v>0.0026408179012345676</v>
      </c>
      <c r="U17" s="133">
        <f>IF(S17&gt;0,RANK(S17,S14:S18,1),)</f>
        <v>1</v>
      </c>
      <c r="V17" s="49"/>
      <c r="W17" s="76" t="s">
        <v>58</v>
      </c>
      <c r="X17" s="77">
        <v>0.009942129629629629</v>
      </c>
      <c r="Y17" s="30">
        <f t="shared" si="30"/>
        <v>0.002761702674897119</v>
      </c>
      <c r="Z17" s="31">
        <f t="shared" si="39"/>
        <v>3</v>
      </c>
      <c r="AA17" s="49"/>
      <c r="AB17" s="76" t="s">
        <v>57</v>
      </c>
      <c r="AC17" s="77">
        <v>0.009837962962962963</v>
      </c>
      <c r="AD17" s="30">
        <f t="shared" si="31"/>
        <v>0.0022107781939242612</v>
      </c>
      <c r="AE17" s="31">
        <f t="shared" si="40"/>
        <v>1</v>
      </c>
      <c r="AF17" s="49"/>
      <c r="AG17" s="76" t="s">
        <v>80</v>
      </c>
      <c r="AH17" s="77">
        <v>0.010729166666666666</v>
      </c>
      <c r="AI17" s="30">
        <f t="shared" si="32"/>
        <v>0.0026822916666666666</v>
      </c>
      <c r="AJ17" s="31">
        <f t="shared" si="41"/>
        <v>6</v>
      </c>
      <c r="AK17" s="49"/>
      <c r="AL17" s="76" t="s">
        <v>57</v>
      </c>
      <c r="AM17" s="77">
        <v>0.010578703703703703</v>
      </c>
      <c r="AN17" s="30">
        <f t="shared" si="33"/>
        <v>0.0026446759259259258</v>
      </c>
      <c r="AO17" s="31">
        <f t="shared" si="42"/>
        <v>1</v>
      </c>
      <c r="AP17" s="49"/>
      <c r="AQ17" s="76" t="s">
        <v>58</v>
      </c>
      <c r="AR17" s="77">
        <v>0.011458333333333334</v>
      </c>
      <c r="AS17" s="30">
        <f t="shared" si="34"/>
        <v>0.0025462962962962965</v>
      </c>
      <c r="AT17" s="31">
        <f t="shared" si="43"/>
        <v>6</v>
      </c>
      <c r="AU17" s="49"/>
      <c r="AV17" s="76" t="s">
        <v>79</v>
      </c>
      <c r="AW17" s="77">
        <v>0.009421296296296296</v>
      </c>
      <c r="AX17" s="30">
        <f t="shared" si="35"/>
        <v>0.002546296296296296</v>
      </c>
      <c r="AY17" s="31">
        <f t="shared" si="44"/>
        <v>2</v>
      </c>
      <c r="AZ17" s="49"/>
      <c r="BA17" s="55"/>
      <c r="BB17" s="56"/>
      <c r="BC17" s="57"/>
      <c r="BD17" s="58"/>
      <c r="BE17" s="49"/>
      <c r="BG17" s="63"/>
      <c r="BH17" s="64"/>
      <c r="BL17" s="63"/>
      <c r="BM17" s="64"/>
      <c r="BQ17" s="63"/>
      <c r="BR17" s="64"/>
      <c r="BV17" s="63"/>
      <c r="BW17" s="64"/>
      <c r="CA17" s="63"/>
      <c r="CB17" s="64"/>
      <c r="CF17" s="63"/>
      <c r="CG17" s="64"/>
      <c r="CK17" s="63"/>
      <c r="CL17" s="64"/>
    </row>
    <row r="18" spans="1:90" ht="19.5" customHeight="1">
      <c r="A18" s="79" t="str">
        <f t="shared" si="23"/>
        <v>3 Guys, A Girl &amp; a Pub</v>
      </c>
      <c r="E18" s="70">
        <f t="shared" si="24"/>
        <v>0.07987268518518519</v>
      </c>
      <c r="F18" s="71">
        <f t="shared" si="36"/>
        <v>4</v>
      </c>
      <c r="H18" s="76" t="s">
        <v>65</v>
      </c>
      <c r="I18" s="77">
        <v>0.008206018518518519</v>
      </c>
      <c r="J18" s="30">
        <f t="shared" si="25"/>
        <v>0.0027353395061728396</v>
      </c>
      <c r="K18" s="31">
        <f t="shared" si="37"/>
        <v>7</v>
      </c>
      <c r="L18" s="49"/>
      <c r="M18" s="76" t="s">
        <v>82</v>
      </c>
      <c r="N18" s="77">
        <v>0.00849537037037037</v>
      </c>
      <c r="O18" s="30">
        <f t="shared" si="26"/>
        <v>0.00283179012345679</v>
      </c>
      <c r="P18" s="31">
        <f t="shared" si="38"/>
        <v>10</v>
      </c>
      <c r="Q18" s="49"/>
      <c r="R18" s="130" t="str">
        <f t="shared" si="27"/>
        <v>Tony Dell &amp; Kirsten Jackson</v>
      </c>
      <c r="S18" s="131">
        <f t="shared" si="28"/>
        <v>0.01670138888888889</v>
      </c>
      <c r="T18" s="132">
        <f t="shared" si="29"/>
        <v>0.002783564814814815</v>
      </c>
      <c r="U18" s="133">
        <f>IF(S18&gt;0,RANK(S18,S15:S19,1),)</f>
        <v>3</v>
      </c>
      <c r="V18" s="49"/>
      <c r="W18" s="76" t="s">
        <v>60</v>
      </c>
      <c r="X18" s="77">
        <v>0.009710648148148147</v>
      </c>
      <c r="Y18" s="30">
        <f t="shared" si="30"/>
        <v>0.002697402263374485</v>
      </c>
      <c r="Z18" s="31">
        <f t="shared" si="39"/>
        <v>2</v>
      </c>
      <c r="AA18" s="49"/>
      <c r="AB18" s="76" t="s">
        <v>81</v>
      </c>
      <c r="AC18" s="77">
        <v>0.01050925925925926</v>
      </c>
      <c r="AD18" s="30">
        <f t="shared" si="31"/>
        <v>0.002361631294215564</v>
      </c>
      <c r="AE18" s="31">
        <f t="shared" si="40"/>
        <v>4</v>
      </c>
      <c r="AF18" s="49"/>
      <c r="AG18" s="76" t="s">
        <v>65</v>
      </c>
      <c r="AH18" s="77">
        <v>0.010185185185185184</v>
      </c>
      <c r="AI18" s="30">
        <f t="shared" si="32"/>
        <v>0.002546296296296296</v>
      </c>
      <c r="AJ18" s="31">
        <f t="shared" si="41"/>
        <v>3</v>
      </c>
      <c r="AK18" s="49"/>
      <c r="AL18" s="76" t="s">
        <v>81</v>
      </c>
      <c r="AM18" s="77">
        <v>0.011226851851851854</v>
      </c>
      <c r="AN18" s="30">
        <f t="shared" si="33"/>
        <v>0.0028067129629629635</v>
      </c>
      <c r="AO18" s="31">
        <f t="shared" si="42"/>
        <v>4</v>
      </c>
      <c r="AP18" s="49"/>
      <c r="AQ18" s="76" t="s">
        <v>60</v>
      </c>
      <c r="AR18" s="77">
        <v>0.010659722222222221</v>
      </c>
      <c r="AS18" s="30">
        <f t="shared" si="34"/>
        <v>0.002368827160493827</v>
      </c>
      <c r="AT18" s="31">
        <f t="shared" si="43"/>
        <v>2</v>
      </c>
      <c r="AU18" s="49"/>
      <c r="AV18" s="76" t="s">
        <v>82</v>
      </c>
      <c r="AW18" s="77">
        <v>0.01087962962962963</v>
      </c>
      <c r="AX18" s="30">
        <f t="shared" si="35"/>
        <v>0.0029404404404404405</v>
      </c>
      <c r="AY18" s="31">
        <f t="shared" si="44"/>
        <v>6</v>
      </c>
      <c r="AZ18" s="49"/>
      <c r="BA18" s="55"/>
      <c r="BB18" s="56"/>
      <c r="BC18" s="57"/>
      <c r="BD18" s="58"/>
      <c r="BE18" s="49"/>
      <c r="BG18" s="63"/>
      <c r="BH18" s="64"/>
      <c r="BL18" s="63"/>
      <c r="BM18" s="64"/>
      <c r="BQ18" s="63"/>
      <c r="BR18" s="64"/>
      <c r="BV18" s="63"/>
      <c r="BW18" s="64"/>
      <c r="CA18" s="63"/>
      <c r="CB18" s="64"/>
      <c r="CF18" s="63"/>
      <c r="CG18" s="64"/>
      <c r="CK18" s="63"/>
      <c r="CL18" s="64"/>
    </row>
    <row r="19" spans="1:90" ht="19.5" customHeight="1">
      <c r="A19" s="79" t="str">
        <f t="shared" si="23"/>
        <v>House of Paine</v>
      </c>
      <c r="E19" s="70">
        <f t="shared" si="24"/>
        <v>0.07974537037037037</v>
      </c>
      <c r="F19" s="71">
        <f t="shared" si="36"/>
        <v>3</v>
      </c>
      <c r="H19" s="76" t="s">
        <v>84</v>
      </c>
      <c r="I19" s="77">
        <v>0.008101851851851851</v>
      </c>
      <c r="J19" s="30">
        <f t="shared" si="25"/>
        <v>0.002700617283950617</v>
      </c>
      <c r="K19" s="31">
        <f t="shared" si="37"/>
        <v>6</v>
      </c>
      <c r="L19" s="49"/>
      <c r="M19" s="76" t="s">
        <v>66</v>
      </c>
      <c r="N19" s="77">
        <v>0.008506944444444444</v>
      </c>
      <c r="O19" s="30">
        <f t="shared" si="26"/>
        <v>0.002835648148148148</v>
      </c>
      <c r="P19" s="31">
        <f t="shared" si="38"/>
        <v>11</v>
      </c>
      <c r="Q19" s="49"/>
      <c r="R19" s="130" t="str">
        <f t="shared" si="27"/>
        <v>Luke Goodman &amp; Thai Phan</v>
      </c>
      <c r="S19" s="131">
        <f t="shared" si="28"/>
        <v>0.016608796296296295</v>
      </c>
      <c r="T19" s="132">
        <f t="shared" si="29"/>
        <v>0.0027681327160493825</v>
      </c>
      <c r="U19" s="133">
        <f>IF(S19&gt;0,RANK(S19,S16:S20,1),)</f>
        <v>3</v>
      </c>
      <c r="V19" s="49"/>
      <c r="W19" s="76" t="s">
        <v>56</v>
      </c>
      <c r="X19" s="77">
        <v>0.010324074074074074</v>
      </c>
      <c r="Y19" s="30">
        <f t="shared" si="30"/>
        <v>0.002867798353909465</v>
      </c>
      <c r="Z19" s="31">
        <f t="shared" si="39"/>
        <v>5</v>
      </c>
      <c r="AA19" s="49"/>
      <c r="AB19" s="76" t="s">
        <v>83</v>
      </c>
      <c r="AC19" s="77">
        <v>0.01017361111111111</v>
      </c>
      <c r="AD19" s="30">
        <f t="shared" si="31"/>
        <v>0.0022862047440699125</v>
      </c>
      <c r="AE19" s="31">
        <f t="shared" si="40"/>
        <v>2</v>
      </c>
      <c r="AF19" s="49"/>
      <c r="AG19" s="76" t="s">
        <v>84</v>
      </c>
      <c r="AH19" s="77">
        <v>0.010405092592592593</v>
      </c>
      <c r="AI19" s="30">
        <f t="shared" si="32"/>
        <v>0.002601273148148148</v>
      </c>
      <c r="AJ19" s="31">
        <f t="shared" si="41"/>
        <v>4</v>
      </c>
      <c r="AK19" s="49"/>
      <c r="AL19" s="76" t="s">
        <v>56</v>
      </c>
      <c r="AM19" s="77">
        <v>0.011226851851851854</v>
      </c>
      <c r="AN19" s="30">
        <f t="shared" si="33"/>
        <v>0.0028067129629629635</v>
      </c>
      <c r="AO19" s="31">
        <f t="shared" si="42"/>
        <v>4</v>
      </c>
      <c r="AP19" s="49"/>
      <c r="AQ19" s="76" t="s">
        <v>83</v>
      </c>
      <c r="AR19" s="77">
        <v>0.010775462962962964</v>
      </c>
      <c r="AS19" s="30">
        <f t="shared" si="34"/>
        <v>0.0023945473251028807</v>
      </c>
      <c r="AT19" s="31">
        <f t="shared" si="43"/>
        <v>3</v>
      </c>
      <c r="AU19" s="49"/>
      <c r="AV19" s="76" t="s">
        <v>66</v>
      </c>
      <c r="AW19" s="77">
        <v>0.010231481481481482</v>
      </c>
      <c r="AX19" s="30">
        <f t="shared" si="35"/>
        <v>0.0027652652652652653</v>
      </c>
      <c r="AY19" s="31">
        <f t="shared" si="44"/>
        <v>5</v>
      </c>
      <c r="AZ19" s="49"/>
      <c r="BA19" s="55"/>
      <c r="BB19" s="56"/>
      <c r="BC19" s="57"/>
      <c r="BD19" s="58"/>
      <c r="BE19" s="49"/>
      <c r="BG19" s="63"/>
      <c r="BH19" s="64"/>
      <c r="BL19" s="63"/>
      <c r="BM19" s="64"/>
      <c r="BQ19" s="63"/>
      <c r="BR19" s="64"/>
      <c r="BV19" s="63"/>
      <c r="BW19" s="64"/>
      <c r="CA19" s="63"/>
      <c r="CB19" s="64"/>
      <c r="CF19" s="63"/>
      <c r="CG19" s="64"/>
      <c r="CK19" s="63"/>
      <c r="CL19" s="64"/>
    </row>
    <row r="20" spans="1:90" ht="19.5" customHeight="1">
      <c r="A20" s="79" t="str">
        <f t="shared" si="23"/>
        <v>The Drowned Rats</v>
      </c>
      <c r="E20" s="70">
        <f t="shared" si="24"/>
        <v>0.08267361111111111</v>
      </c>
      <c r="F20" s="71">
        <f t="shared" si="36"/>
        <v>7</v>
      </c>
      <c r="H20" s="76" t="s">
        <v>86</v>
      </c>
      <c r="I20" s="77">
        <v>0.007881944444444443</v>
      </c>
      <c r="J20" s="30">
        <f t="shared" si="25"/>
        <v>0.0026273148148148145</v>
      </c>
      <c r="K20" s="31">
        <f t="shared" si="37"/>
        <v>5</v>
      </c>
      <c r="L20" s="49"/>
      <c r="M20" s="76" t="s">
        <v>55</v>
      </c>
      <c r="N20" s="77">
        <v>0.008206018518518519</v>
      </c>
      <c r="O20" s="30">
        <f t="shared" si="26"/>
        <v>0.0027353395061728396</v>
      </c>
      <c r="P20" s="31">
        <f t="shared" si="38"/>
        <v>7</v>
      </c>
      <c r="Q20" s="49"/>
      <c r="R20" s="130" t="str">
        <f t="shared" si="27"/>
        <v>Juanita Liston &amp; Gary O'Dwyer</v>
      </c>
      <c r="S20" s="131">
        <f t="shared" si="28"/>
        <v>0.016087962962962964</v>
      </c>
      <c r="T20" s="132">
        <f t="shared" si="29"/>
        <v>0.0026813271604938273</v>
      </c>
      <c r="U20" s="133">
        <f>IF(S20&gt;0,RANK(S20,S17:S21,1),)</f>
        <v>2</v>
      </c>
      <c r="V20" s="49"/>
      <c r="W20" s="76" t="s">
        <v>63</v>
      </c>
      <c r="X20" s="77">
        <v>0.011157407407407408</v>
      </c>
      <c r="Y20" s="30">
        <f t="shared" si="30"/>
        <v>0.0030992798353909464</v>
      </c>
      <c r="Z20" s="31">
        <f t="shared" si="39"/>
        <v>7</v>
      </c>
      <c r="AA20" s="49"/>
      <c r="AB20" s="76" t="s">
        <v>86</v>
      </c>
      <c r="AC20" s="77">
        <v>0.012291666666666666</v>
      </c>
      <c r="AD20" s="30">
        <f t="shared" si="31"/>
        <v>0.0027621722846441943</v>
      </c>
      <c r="AE20" s="31">
        <f t="shared" si="40"/>
        <v>7</v>
      </c>
      <c r="AF20" s="49"/>
      <c r="AG20" s="76" t="s">
        <v>55</v>
      </c>
      <c r="AH20" s="77">
        <v>0.009768518518518518</v>
      </c>
      <c r="AI20" s="30">
        <f t="shared" si="32"/>
        <v>0.0024421296296296296</v>
      </c>
      <c r="AJ20" s="31">
        <f t="shared" si="41"/>
        <v>2</v>
      </c>
      <c r="AK20" s="49"/>
      <c r="AL20" s="76" t="s">
        <v>85</v>
      </c>
      <c r="AM20" s="77">
        <v>0.011215277777777777</v>
      </c>
      <c r="AN20" s="30">
        <f t="shared" si="33"/>
        <v>0.0028038194444444443</v>
      </c>
      <c r="AO20" s="31">
        <f t="shared" si="42"/>
        <v>3</v>
      </c>
      <c r="AP20" s="49"/>
      <c r="AQ20" s="76" t="s">
        <v>63</v>
      </c>
      <c r="AR20" s="77">
        <v>0.013113425925925926</v>
      </c>
      <c r="AS20" s="30">
        <f t="shared" si="34"/>
        <v>0.0029140946502057615</v>
      </c>
      <c r="AT20" s="31">
        <f t="shared" si="43"/>
        <v>7</v>
      </c>
      <c r="AU20" s="49"/>
      <c r="AV20" s="76" t="s">
        <v>85</v>
      </c>
      <c r="AW20" s="77">
        <v>0.009039351851851852</v>
      </c>
      <c r="AX20" s="30">
        <f t="shared" si="35"/>
        <v>0.002443068068068068</v>
      </c>
      <c r="AY20" s="31">
        <f t="shared" si="44"/>
        <v>1</v>
      </c>
      <c r="AZ20" s="49"/>
      <c r="BA20" s="55"/>
      <c r="BB20" s="56"/>
      <c r="BC20" s="57"/>
      <c r="BD20" s="58"/>
      <c r="BE20" s="49"/>
      <c r="BG20" s="63"/>
      <c r="BH20" s="64"/>
      <c r="BL20" s="63"/>
      <c r="BM20" s="64"/>
      <c r="BQ20" s="63"/>
      <c r="BR20" s="64"/>
      <c r="BV20" s="63"/>
      <c r="BW20" s="64"/>
      <c r="CA20" s="63"/>
      <c r="CB20" s="64"/>
      <c r="CF20" s="63"/>
      <c r="CG20" s="64"/>
      <c r="CK20" s="63"/>
      <c r="CL20" s="64"/>
    </row>
    <row r="22" ht="30" customHeight="1"/>
    <row r="23" ht="30" customHeight="1"/>
    <row r="24" ht="30" customHeight="1"/>
    <row r="25" ht="30" customHeight="1"/>
    <row r="26" ht="30" customHeight="1"/>
    <row r="27" ht="12.75">
      <c r="A27" s="59" t="s">
        <v>0</v>
      </c>
    </row>
    <row r="28" spans="1:9" ht="12.75">
      <c r="A28" s="59">
        <v>1</v>
      </c>
      <c r="B28" s="59" t="str">
        <f>'Team Selection'!D3</f>
        <v>Dan Hornery</v>
      </c>
      <c r="C28" s="59" t="str">
        <f>'Team Selection'!F3</f>
        <v>Anthony Mithen</v>
      </c>
      <c r="D28" s="59" t="str">
        <f>'Team Selection'!H3</f>
        <v>Wayne Williams</v>
      </c>
      <c r="E28" s="59" t="str">
        <f>'Team Selection'!J3</f>
        <v>Scott Bales</v>
      </c>
      <c r="F28" s="64"/>
      <c r="I28" s="64"/>
    </row>
    <row r="29" spans="1:9" ht="12.75">
      <c r="A29" s="59">
        <v>2</v>
      </c>
      <c r="B29" s="59" t="str">
        <f>'Team Selection'!D4</f>
        <v>Colin Thornton</v>
      </c>
      <c r="C29" s="59" t="str">
        <f>'Team Selection'!F4</f>
        <v>Bruce Arthur</v>
      </c>
      <c r="D29" s="59" t="str">
        <f>'Team Selection'!H4</f>
        <v>Anthony Weiland</v>
      </c>
      <c r="E29" s="59" t="str">
        <f>'Team Selection'!J4</f>
        <v>Jim Grelis</v>
      </c>
      <c r="F29" s="64"/>
      <c r="I29" s="64"/>
    </row>
    <row r="30" spans="1:9" ht="12.75">
      <c r="A30" s="59">
        <v>3</v>
      </c>
      <c r="B30" s="59" t="str">
        <f>'Team Selection'!D5</f>
        <v>Brett Coleman</v>
      </c>
      <c r="C30" s="59" t="str">
        <f>'Team Selection'!F5</f>
        <v>Shane Fielding</v>
      </c>
      <c r="D30" s="59" t="str">
        <f>'Team Selection'!H5</f>
        <v>Charles Chambers</v>
      </c>
      <c r="E30" s="59" t="str">
        <f>'Team Selection'!J5</f>
        <v>Matt Lowth</v>
      </c>
      <c r="F30" s="64"/>
      <c r="I30" s="64"/>
    </row>
    <row r="31" spans="1:9" ht="12.75">
      <c r="A31" s="59">
        <v>4</v>
      </c>
      <c r="B31" s="59" t="str">
        <f>'Team Selection'!D6</f>
        <v>Paul Martinico</v>
      </c>
      <c r="C31" s="59" t="str">
        <f>'Team Selection'!F6</f>
        <v>Anthony Lee</v>
      </c>
      <c r="D31" s="59" t="str">
        <f>'Team Selection'!H6</f>
        <v>Ian Dent</v>
      </c>
      <c r="E31" s="59" t="str">
        <f>'Team Selection'!J6</f>
        <v>Craig Harris</v>
      </c>
      <c r="F31" s="64"/>
      <c r="I31" s="64"/>
    </row>
    <row r="32" spans="1:9" ht="12.75">
      <c r="A32" s="59">
        <v>5</v>
      </c>
      <c r="B32" s="59" t="str">
        <f>'Team Selection'!D7</f>
        <v>Troy Williams</v>
      </c>
      <c r="C32" s="59" t="str">
        <f>'Team Selection'!F7</f>
        <v>Nic Gilbert</v>
      </c>
      <c r="D32" s="59" t="str">
        <f>'Team Selection'!H7</f>
        <v>Tony Dell</v>
      </c>
      <c r="E32" s="59" t="str">
        <f>'Team Selection'!J7</f>
        <v>Kirsten Jackson</v>
      </c>
      <c r="F32" s="64"/>
      <c r="I32" s="64"/>
    </row>
    <row r="33" spans="1:5" ht="12.75">
      <c r="A33" s="59">
        <v>6</v>
      </c>
      <c r="B33" s="59" t="str">
        <f>'Team Selection'!D8</f>
        <v>Stephen Paine</v>
      </c>
      <c r="C33" s="59" t="str">
        <f>'Team Selection'!F8</f>
        <v>David Venour</v>
      </c>
      <c r="D33" s="59" t="str">
        <f>'Team Selection'!H8</f>
        <v>Luke Goodman</v>
      </c>
      <c r="E33" s="59" t="str">
        <f>'Team Selection'!J8</f>
        <v>Thai Phan</v>
      </c>
    </row>
    <row r="34" spans="1:49" ht="12.75">
      <c r="A34" s="59">
        <v>7</v>
      </c>
      <c r="B34" s="59" t="str">
        <f>'Team Selection'!D9</f>
        <v>Matt Sandilands</v>
      </c>
      <c r="C34" s="59" t="str">
        <f>'Team Selection'!F9</f>
        <v>Richard Does</v>
      </c>
      <c r="D34" s="59" t="str">
        <f>'Team Selection'!H9</f>
        <v>Juanita Liston</v>
      </c>
      <c r="E34" s="59" t="str">
        <f>'Team Selection'!J9</f>
        <v>Gary O'Dwyer</v>
      </c>
      <c r="I34" s="56"/>
      <c r="N34" s="56"/>
      <c r="S34" s="138"/>
      <c r="X34" s="56"/>
      <c r="AC34" s="56"/>
      <c r="AH34" s="56"/>
      <c r="AM34" s="56"/>
      <c r="AR34" s="56"/>
      <c r="AW34" s="56"/>
    </row>
    <row r="35" spans="9:49" ht="12.75">
      <c r="I35" s="56"/>
      <c r="N35" s="56"/>
      <c r="S35" s="138"/>
      <c r="X35" s="56"/>
      <c r="AC35" s="56"/>
      <c r="AH35" s="56"/>
      <c r="AM35" s="56"/>
      <c r="AR35" s="56"/>
      <c r="AW35" s="56"/>
    </row>
    <row r="36" spans="9:49" ht="12.75">
      <c r="I36" s="56"/>
      <c r="N36" s="56"/>
      <c r="S36" s="138"/>
      <c r="X36" s="56"/>
      <c r="AC36" s="56"/>
      <c r="AH36" s="56"/>
      <c r="AM36" s="56"/>
      <c r="AR36" s="56"/>
      <c r="AW36" s="56"/>
    </row>
    <row r="37" spans="9:49" ht="12.75">
      <c r="I37" s="56"/>
      <c r="S37" s="138"/>
      <c r="X37" s="56"/>
      <c r="AC37" s="56"/>
      <c r="AH37" s="56"/>
      <c r="AM37" s="56"/>
      <c r="AR37" s="56"/>
      <c r="AW37" s="56"/>
    </row>
    <row r="38" spans="9:49" ht="12.75">
      <c r="I38" s="56"/>
      <c r="S38" s="138"/>
      <c r="X38" s="56"/>
      <c r="AC38" s="56"/>
      <c r="AH38" s="56"/>
      <c r="AM38" s="56"/>
      <c r="AR38" s="56"/>
      <c r="AW38" s="56"/>
    </row>
    <row r="39" spans="9:49" ht="12.75">
      <c r="I39" s="56"/>
      <c r="S39" s="138"/>
      <c r="X39" s="56"/>
      <c r="AC39" s="56"/>
      <c r="AH39" s="56"/>
      <c r="AM39" s="56"/>
      <c r="AR39" s="56"/>
      <c r="AW39" s="56"/>
    </row>
    <row r="47" ht="12.75">
      <c r="L47" s="81"/>
    </row>
    <row r="48" ht="12.75">
      <c r="L48" s="81"/>
    </row>
    <row r="49" ht="12.75">
      <c r="L49" s="49"/>
    </row>
    <row r="50" ht="12.75">
      <c r="L50" s="49"/>
    </row>
    <row r="51" ht="12.75">
      <c r="L51" s="49"/>
    </row>
    <row r="52" ht="12.75">
      <c r="L52" s="49"/>
    </row>
    <row r="53" spans="12:15" ht="12.75">
      <c r="L53" s="49"/>
      <c r="N53" s="63"/>
      <c r="O53" s="64"/>
    </row>
    <row r="54" ht="12.75">
      <c r="L54" s="49"/>
    </row>
    <row r="55" ht="12.75">
      <c r="L55" s="49"/>
    </row>
    <row r="56" spans="9:10" ht="12.75">
      <c r="I56" s="63"/>
      <c r="J56" s="64"/>
    </row>
    <row r="57" spans="8:91" ht="12.75">
      <c r="H57" s="67" t="s">
        <v>71</v>
      </c>
      <c r="J57" s="81"/>
      <c r="N57" s="137"/>
      <c r="O57" s="134"/>
      <c r="P57" s="136"/>
      <c r="R57" s="62"/>
      <c r="S57" s="65"/>
      <c r="T57" s="62"/>
      <c r="U57" s="64"/>
      <c r="CK57" s="62"/>
      <c r="CM57" s="62"/>
    </row>
    <row r="58" spans="8:91" ht="12.75">
      <c r="H58" s="77">
        <f aca="true" t="shared" si="45" ref="H58:H64">I4</f>
        <v>0.006944444444444444</v>
      </c>
      <c r="L58" s="49"/>
      <c r="N58" s="62"/>
      <c r="O58" s="64"/>
      <c r="P58" s="62"/>
      <c r="Q58" s="134"/>
      <c r="R58" s="137"/>
      <c r="S58" s="134"/>
      <c r="T58" s="136"/>
      <c r="U58" s="62"/>
      <c r="W58" s="65"/>
      <c r="X58" s="62"/>
      <c r="Y58" s="64"/>
      <c r="Z58" s="62"/>
      <c r="AB58" s="65"/>
      <c r="AC58" s="62"/>
      <c r="AD58" s="64"/>
      <c r="AE58" s="62"/>
      <c r="AG58" s="65"/>
      <c r="AH58" s="62"/>
      <c r="AI58" s="64"/>
      <c r="AJ58" s="62"/>
      <c r="AL58" s="65"/>
      <c r="AM58" s="62"/>
      <c r="AN58" s="64"/>
      <c r="AO58" s="62"/>
      <c r="AQ58" s="65"/>
      <c r="AR58" s="62"/>
      <c r="AS58" s="64"/>
      <c r="AT58" s="62"/>
      <c r="AV58" s="65"/>
      <c r="AW58" s="62"/>
      <c r="AX58" s="64"/>
      <c r="AY58" s="62"/>
      <c r="BA58" s="65"/>
      <c r="BB58" s="62"/>
      <c r="BC58" s="64"/>
      <c r="BD58" s="62"/>
      <c r="BF58" s="65"/>
      <c r="BG58" s="62"/>
      <c r="BH58" s="64"/>
      <c r="BI58" s="62"/>
      <c r="BK58" s="65"/>
      <c r="BL58" s="62"/>
      <c r="BM58" s="64"/>
      <c r="BN58" s="62"/>
      <c r="BP58" s="65"/>
      <c r="BQ58" s="62"/>
      <c r="BR58" s="64"/>
      <c r="BS58" s="62"/>
      <c r="BU58" s="65"/>
      <c r="BV58" s="62"/>
      <c r="BW58" s="64"/>
      <c r="BX58" s="62"/>
      <c r="BZ58" s="65"/>
      <c r="CA58" s="62"/>
      <c r="CB58" s="64"/>
      <c r="CC58" s="62"/>
      <c r="CE58" s="65"/>
      <c r="CF58" s="62"/>
      <c r="CG58" s="64"/>
      <c r="CH58" s="62"/>
      <c r="CJ58" s="65"/>
      <c r="CK58" s="62"/>
      <c r="CL58" s="64"/>
      <c r="CM58" s="62"/>
    </row>
    <row r="59" spans="8:91" ht="12.75">
      <c r="H59" s="77">
        <f t="shared" si="45"/>
        <v>0.007523148148148148</v>
      </c>
      <c r="L59" s="49"/>
      <c r="N59" s="62"/>
      <c r="O59" s="64"/>
      <c r="P59" s="62"/>
      <c r="Q59" s="134"/>
      <c r="R59" s="137"/>
      <c r="S59" s="134"/>
      <c r="T59" s="136"/>
      <c r="U59" s="62"/>
      <c r="W59" s="65"/>
      <c r="X59" s="62"/>
      <c r="Y59" s="64"/>
      <c r="Z59" s="62"/>
      <c r="AB59" s="65"/>
      <c r="AC59" s="62"/>
      <c r="AD59" s="64"/>
      <c r="AE59" s="62"/>
      <c r="AG59" s="65"/>
      <c r="AH59" s="62"/>
      <c r="AI59" s="64"/>
      <c r="AJ59" s="62"/>
      <c r="AL59" s="65"/>
      <c r="AM59" s="62"/>
      <c r="AN59" s="64"/>
      <c r="AO59" s="62"/>
      <c r="AQ59" s="65"/>
      <c r="AR59" s="62"/>
      <c r="AS59" s="64"/>
      <c r="AT59" s="62"/>
      <c r="AV59" s="65"/>
      <c r="AW59" s="62"/>
      <c r="AX59" s="64"/>
      <c r="AY59" s="62"/>
      <c r="BA59" s="65"/>
      <c r="BB59" s="62"/>
      <c r="BC59" s="64"/>
      <c r="BD59" s="62"/>
      <c r="BF59" s="65"/>
      <c r="BG59" s="62"/>
      <c r="BH59" s="64"/>
      <c r="BI59" s="62"/>
      <c r="BK59" s="65"/>
      <c r="BL59" s="62"/>
      <c r="BM59" s="64"/>
      <c r="BN59" s="62"/>
      <c r="BP59" s="65"/>
      <c r="BQ59" s="62"/>
      <c r="BR59" s="64"/>
      <c r="BS59" s="62"/>
      <c r="BU59" s="65"/>
      <c r="BV59" s="62"/>
      <c r="BW59" s="64"/>
      <c r="BX59" s="62"/>
      <c r="BZ59" s="65"/>
      <c r="CA59" s="62"/>
      <c r="CB59" s="64"/>
      <c r="CC59" s="62"/>
      <c r="CE59" s="65"/>
      <c r="CF59" s="62"/>
      <c r="CG59" s="64"/>
      <c r="CH59" s="62"/>
      <c r="CJ59" s="65"/>
      <c r="CK59" s="62"/>
      <c r="CL59" s="64"/>
      <c r="CM59" s="62"/>
    </row>
    <row r="60" spans="8:91" ht="12.75">
      <c r="H60" s="77">
        <f t="shared" si="45"/>
        <v>0.007256944444444444</v>
      </c>
      <c r="L60" s="49"/>
      <c r="N60" s="62"/>
      <c r="O60" s="64"/>
      <c r="P60" s="62"/>
      <c r="Q60" s="134"/>
      <c r="R60" s="137"/>
      <c r="S60" s="134"/>
      <c r="T60" s="136"/>
      <c r="U60" s="62"/>
      <c r="W60" s="65"/>
      <c r="X60" s="62"/>
      <c r="Y60" s="64"/>
      <c r="Z60" s="62"/>
      <c r="AB60" s="65"/>
      <c r="AC60" s="62"/>
      <c r="AD60" s="64"/>
      <c r="AE60" s="62"/>
      <c r="AG60" s="65"/>
      <c r="AH60" s="62"/>
      <c r="AI60" s="64"/>
      <c r="AJ60" s="62"/>
      <c r="AL60" s="65"/>
      <c r="AM60" s="62"/>
      <c r="AN60" s="64"/>
      <c r="AO60" s="62"/>
      <c r="AQ60" s="65"/>
      <c r="AR60" s="62"/>
      <c r="AS60" s="64"/>
      <c r="AT60" s="62"/>
      <c r="AV60" s="65"/>
      <c r="AW60" s="62"/>
      <c r="AX60" s="64"/>
      <c r="AY60" s="62"/>
      <c r="BA60" s="65"/>
      <c r="BB60" s="62"/>
      <c r="BC60" s="64"/>
      <c r="BD60" s="62"/>
      <c r="BF60" s="65"/>
      <c r="BG60" s="62"/>
      <c r="BH60" s="64"/>
      <c r="BI60" s="62"/>
      <c r="BK60" s="65"/>
      <c r="BL60" s="62"/>
      <c r="BM60" s="64"/>
      <c r="BN60" s="62"/>
      <c r="BP60" s="65"/>
      <c r="BQ60" s="62"/>
      <c r="BR60" s="64"/>
      <c r="BS60" s="62"/>
      <c r="BU60" s="65"/>
      <c r="BV60" s="62"/>
      <c r="BW60" s="64"/>
      <c r="BX60" s="62"/>
      <c r="BZ60" s="65"/>
      <c r="CA60" s="62"/>
      <c r="CB60" s="64"/>
      <c r="CC60" s="62"/>
      <c r="CE60" s="65"/>
      <c r="CF60" s="62"/>
      <c r="CG60" s="64"/>
      <c r="CH60" s="62"/>
      <c r="CJ60" s="65"/>
      <c r="CK60" s="62"/>
      <c r="CL60" s="64"/>
      <c r="CM60" s="62"/>
    </row>
    <row r="61" spans="8:91" ht="12.75">
      <c r="H61" s="77">
        <f t="shared" si="45"/>
        <v>0.007256944444444444</v>
      </c>
      <c r="L61" s="49"/>
      <c r="N61" s="62"/>
      <c r="O61" s="64"/>
      <c r="P61" s="62"/>
      <c r="Q61" s="134"/>
      <c r="R61" s="137"/>
      <c r="S61" s="134"/>
      <c r="T61" s="136"/>
      <c r="U61" s="62"/>
      <c r="W61" s="65"/>
      <c r="X61" s="62"/>
      <c r="Y61" s="64"/>
      <c r="Z61" s="62"/>
      <c r="AB61" s="65"/>
      <c r="AC61" s="62"/>
      <c r="AD61" s="64"/>
      <c r="AE61" s="62"/>
      <c r="AG61" s="65"/>
      <c r="AH61" s="62"/>
      <c r="AI61" s="64"/>
      <c r="AJ61" s="62"/>
      <c r="AL61" s="65"/>
      <c r="AM61" s="62"/>
      <c r="AN61" s="64"/>
      <c r="AO61" s="62"/>
      <c r="AQ61" s="65"/>
      <c r="AR61" s="62"/>
      <c r="AS61" s="64"/>
      <c r="AT61" s="62"/>
      <c r="AV61" s="65"/>
      <c r="AW61" s="62"/>
      <c r="AX61" s="64"/>
      <c r="AY61" s="62"/>
      <c r="BA61" s="65"/>
      <c r="BB61" s="62"/>
      <c r="BC61" s="64"/>
      <c r="BD61" s="62"/>
      <c r="BF61" s="65"/>
      <c r="BG61" s="62"/>
      <c r="BH61" s="64"/>
      <c r="BI61" s="62"/>
      <c r="BK61" s="65"/>
      <c r="BL61" s="62"/>
      <c r="BM61" s="64"/>
      <c r="BN61" s="62"/>
      <c r="BP61" s="65"/>
      <c r="BQ61" s="62"/>
      <c r="BR61" s="64"/>
      <c r="BS61" s="62"/>
      <c r="BU61" s="65"/>
      <c r="BV61" s="62"/>
      <c r="BW61" s="64"/>
      <c r="BX61" s="62"/>
      <c r="BZ61" s="65"/>
      <c r="CA61" s="62"/>
      <c r="CB61" s="64"/>
      <c r="CC61" s="62"/>
      <c r="CE61" s="65"/>
      <c r="CF61" s="62"/>
      <c r="CG61" s="64"/>
      <c r="CH61" s="62"/>
      <c r="CJ61" s="65"/>
      <c r="CK61" s="62"/>
      <c r="CL61" s="64"/>
      <c r="CM61" s="62"/>
    </row>
    <row r="62" spans="8:91" ht="12.75">
      <c r="H62" s="77">
        <f t="shared" si="45"/>
        <v>0.007296296296296296</v>
      </c>
      <c r="L62" s="49"/>
      <c r="N62" s="62"/>
      <c r="O62" s="64"/>
      <c r="P62" s="62"/>
      <c r="Q62" s="134"/>
      <c r="R62" s="137"/>
      <c r="S62" s="134"/>
      <c r="T62" s="136"/>
      <c r="U62" s="62"/>
      <c r="W62" s="65"/>
      <c r="X62" s="62"/>
      <c r="Y62" s="64"/>
      <c r="Z62" s="62"/>
      <c r="AB62" s="65"/>
      <c r="AC62" s="62"/>
      <c r="AD62" s="64"/>
      <c r="AE62" s="62"/>
      <c r="AG62" s="65"/>
      <c r="AH62" s="62"/>
      <c r="AI62" s="64"/>
      <c r="AJ62" s="62"/>
      <c r="AL62" s="65"/>
      <c r="AM62" s="62"/>
      <c r="AN62" s="64"/>
      <c r="AO62" s="62"/>
      <c r="AQ62" s="65"/>
      <c r="AR62" s="62"/>
      <c r="AS62" s="64"/>
      <c r="AT62" s="62"/>
      <c r="AV62" s="65"/>
      <c r="AW62" s="62"/>
      <c r="AX62" s="64"/>
      <c r="AY62" s="62"/>
      <c r="BA62" s="65"/>
      <c r="BB62" s="62"/>
      <c r="BC62" s="64"/>
      <c r="BD62" s="62"/>
      <c r="BF62" s="65"/>
      <c r="BG62" s="62"/>
      <c r="BH62" s="64"/>
      <c r="BI62" s="62"/>
      <c r="BK62" s="65"/>
      <c r="BL62" s="62"/>
      <c r="BM62" s="64"/>
      <c r="BN62" s="62"/>
      <c r="BP62" s="65"/>
      <c r="BQ62" s="62"/>
      <c r="BR62" s="64"/>
      <c r="BS62" s="62"/>
      <c r="BU62" s="65"/>
      <c r="BV62" s="62"/>
      <c r="BW62" s="64"/>
      <c r="BX62" s="62"/>
      <c r="BZ62" s="65"/>
      <c r="CA62" s="62"/>
      <c r="CB62" s="64"/>
      <c r="CC62" s="62"/>
      <c r="CE62" s="65"/>
      <c r="CF62" s="62"/>
      <c r="CG62" s="64"/>
      <c r="CH62" s="62"/>
      <c r="CJ62" s="65"/>
      <c r="CK62" s="62"/>
      <c r="CL62" s="64"/>
      <c r="CM62" s="62"/>
    </row>
    <row r="63" spans="8:91" ht="12.75">
      <c r="H63" s="77">
        <f t="shared" si="45"/>
        <v>0.007337962962962963</v>
      </c>
      <c r="L63" s="49"/>
      <c r="N63" s="62"/>
      <c r="O63" s="64"/>
      <c r="P63" s="62"/>
      <c r="Q63" s="134"/>
      <c r="R63" s="137"/>
      <c r="S63" s="134"/>
      <c r="T63" s="136"/>
      <c r="U63" s="62"/>
      <c r="W63" s="65"/>
      <c r="X63" s="62"/>
      <c r="Y63" s="64"/>
      <c r="Z63" s="62"/>
      <c r="AB63" s="65"/>
      <c r="AC63" s="62"/>
      <c r="AD63" s="64"/>
      <c r="AE63" s="62"/>
      <c r="AG63" s="65"/>
      <c r="AH63" s="62"/>
      <c r="AI63" s="64"/>
      <c r="AJ63" s="62"/>
      <c r="AL63" s="65"/>
      <c r="AM63" s="62"/>
      <c r="AN63" s="64"/>
      <c r="AO63" s="62"/>
      <c r="AQ63" s="65"/>
      <c r="AR63" s="62"/>
      <c r="AS63" s="64"/>
      <c r="AT63" s="62"/>
      <c r="AV63" s="65"/>
      <c r="AW63" s="62"/>
      <c r="AX63" s="64"/>
      <c r="AY63" s="62"/>
      <c r="BA63" s="65"/>
      <c r="BB63" s="62"/>
      <c r="BC63" s="64"/>
      <c r="BD63" s="62"/>
      <c r="BF63" s="65"/>
      <c r="BG63" s="62"/>
      <c r="BH63" s="64"/>
      <c r="BI63" s="62"/>
      <c r="BK63" s="65"/>
      <c r="BL63" s="62"/>
      <c r="BM63" s="64"/>
      <c r="BN63" s="62"/>
      <c r="BP63" s="65"/>
      <c r="BQ63" s="62"/>
      <c r="BR63" s="64"/>
      <c r="BS63" s="62"/>
      <c r="BU63" s="65"/>
      <c r="BV63" s="62"/>
      <c r="BW63" s="64"/>
      <c r="BX63" s="62"/>
      <c r="BZ63" s="65"/>
      <c r="CA63" s="62"/>
      <c r="CB63" s="64"/>
      <c r="CC63" s="62"/>
      <c r="CE63" s="65"/>
      <c r="CF63" s="62"/>
      <c r="CG63" s="64"/>
      <c r="CH63" s="62"/>
      <c r="CJ63" s="65"/>
      <c r="CK63" s="62"/>
      <c r="CL63" s="64"/>
      <c r="CM63" s="62"/>
    </row>
    <row r="64" spans="8:91" ht="12.75">
      <c r="H64" s="77">
        <f t="shared" si="45"/>
        <v>0.007627314814814815</v>
      </c>
      <c r="L64" s="49"/>
      <c r="N64" s="62"/>
      <c r="O64" s="64"/>
      <c r="P64" s="62"/>
      <c r="Q64" s="134"/>
      <c r="R64" s="137"/>
      <c r="S64" s="134"/>
      <c r="T64" s="136"/>
      <c r="U64" s="62"/>
      <c r="W64" s="65"/>
      <c r="X64" s="62"/>
      <c r="Y64" s="64"/>
      <c r="Z64" s="62"/>
      <c r="AB64" s="65"/>
      <c r="AC64" s="62"/>
      <c r="AD64" s="64"/>
      <c r="AE64" s="62"/>
      <c r="AG64" s="65"/>
      <c r="AH64" s="62"/>
      <c r="AI64" s="64"/>
      <c r="AJ64" s="62"/>
      <c r="AL64" s="65"/>
      <c r="AM64" s="62"/>
      <c r="AN64" s="64"/>
      <c r="AO64" s="62"/>
      <c r="AQ64" s="65"/>
      <c r="AR64" s="62"/>
      <c r="AS64" s="64"/>
      <c r="AT64" s="62"/>
      <c r="AV64" s="65"/>
      <c r="AW64" s="62"/>
      <c r="AX64" s="64"/>
      <c r="AY64" s="62"/>
      <c r="BA64" s="65"/>
      <c r="BB64" s="62"/>
      <c r="BC64" s="64"/>
      <c r="BD64" s="62"/>
      <c r="BF64" s="65"/>
      <c r="BG64" s="62"/>
      <c r="BH64" s="64"/>
      <c r="BI64" s="62"/>
      <c r="BK64" s="65"/>
      <c r="BL64" s="62"/>
      <c r="BM64" s="64"/>
      <c r="BN64" s="62"/>
      <c r="BP64" s="65"/>
      <c r="BQ64" s="62"/>
      <c r="BR64" s="64"/>
      <c r="BS64" s="62"/>
      <c r="BU64" s="65"/>
      <c r="BV64" s="62"/>
      <c r="BW64" s="64"/>
      <c r="BX64" s="62"/>
      <c r="BZ64" s="65"/>
      <c r="CA64" s="62"/>
      <c r="CB64" s="64"/>
      <c r="CC64" s="62"/>
      <c r="CE64" s="65"/>
      <c r="CF64" s="62"/>
      <c r="CG64" s="64"/>
      <c r="CH64" s="62"/>
      <c r="CJ64" s="65"/>
      <c r="CK64" s="62"/>
      <c r="CL64" s="64"/>
      <c r="CM64" s="62"/>
    </row>
    <row r="65" spans="8:91" ht="12.75">
      <c r="H65" s="77">
        <f aca="true" t="shared" si="46" ref="H65:H71">N4</f>
        <v>0.007824074074074075</v>
      </c>
      <c r="N65" s="62"/>
      <c r="O65" s="64"/>
      <c r="P65" s="62"/>
      <c r="Q65" s="134"/>
      <c r="R65" s="137"/>
      <c r="S65" s="134"/>
      <c r="T65" s="136"/>
      <c r="U65" s="62"/>
      <c r="W65" s="65"/>
      <c r="X65" s="62"/>
      <c r="Y65" s="64"/>
      <c r="Z65" s="62"/>
      <c r="AB65" s="65"/>
      <c r="AC65" s="62"/>
      <c r="AD65" s="64"/>
      <c r="AE65" s="62"/>
      <c r="AG65" s="65"/>
      <c r="AH65" s="62"/>
      <c r="AI65" s="64"/>
      <c r="AJ65" s="62"/>
      <c r="AL65" s="65"/>
      <c r="AM65" s="62"/>
      <c r="AN65" s="64"/>
      <c r="AO65" s="62"/>
      <c r="AQ65" s="65"/>
      <c r="AR65" s="62"/>
      <c r="AS65" s="64"/>
      <c r="AT65" s="62"/>
      <c r="AV65" s="65"/>
      <c r="AW65" s="62"/>
      <c r="AX65" s="64"/>
      <c r="AY65" s="62"/>
      <c r="BA65" s="65"/>
      <c r="BB65" s="62"/>
      <c r="BC65" s="64"/>
      <c r="BD65" s="62"/>
      <c r="BF65" s="65"/>
      <c r="BG65" s="62"/>
      <c r="BH65" s="64"/>
      <c r="BI65" s="62"/>
      <c r="BK65" s="65"/>
      <c r="BL65" s="62"/>
      <c r="BM65" s="64"/>
      <c r="BN65" s="62"/>
      <c r="BP65" s="65"/>
      <c r="BQ65" s="62"/>
      <c r="BR65" s="64"/>
      <c r="BS65" s="62"/>
      <c r="BU65" s="65"/>
      <c r="BV65" s="62"/>
      <c r="BW65" s="64"/>
      <c r="BX65" s="62"/>
      <c r="BZ65" s="65"/>
      <c r="CA65" s="62"/>
      <c r="CB65" s="64"/>
      <c r="CC65" s="62"/>
      <c r="CE65" s="65"/>
      <c r="CF65" s="62"/>
      <c r="CG65" s="64"/>
      <c r="CH65" s="62"/>
      <c r="CJ65" s="65"/>
      <c r="CK65" s="62"/>
      <c r="CL65" s="64"/>
      <c r="CM65" s="62"/>
    </row>
    <row r="66" spans="8:91" ht="12.75">
      <c r="H66" s="77">
        <f t="shared" si="46"/>
        <v>0.007962962962962963</v>
      </c>
      <c r="N66" s="62"/>
      <c r="O66" s="64"/>
      <c r="P66" s="62"/>
      <c r="Q66" s="134"/>
      <c r="R66" s="137"/>
      <c r="S66" s="134"/>
      <c r="T66" s="136"/>
      <c r="U66" s="62"/>
      <c r="W66" s="65"/>
      <c r="X66" s="62"/>
      <c r="Y66" s="64"/>
      <c r="Z66" s="62"/>
      <c r="AB66" s="65"/>
      <c r="AC66" s="62"/>
      <c r="AD66" s="64"/>
      <c r="AE66" s="62"/>
      <c r="AG66" s="65"/>
      <c r="AH66" s="62"/>
      <c r="AI66" s="64"/>
      <c r="AJ66" s="62"/>
      <c r="AL66" s="65"/>
      <c r="AM66" s="62"/>
      <c r="AN66" s="64"/>
      <c r="AO66" s="62"/>
      <c r="AQ66" s="65"/>
      <c r="AR66" s="62"/>
      <c r="AS66" s="64"/>
      <c r="AT66" s="62"/>
      <c r="AV66" s="65"/>
      <c r="AW66" s="62"/>
      <c r="AX66" s="64"/>
      <c r="AY66" s="62"/>
      <c r="BA66" s="65"/>
      <c r="BB66" s="62"/>
      <c r="BC66" s="64"/>
      <c r="BD66" s="62"/>
      <c r="BF66" s="65"/>
      <c r="BG66" s="62"/>
      <c r="BH66" s="64"/>
      <c r="BI66" s="62"/>
      <c r="BK66" s="65"/>
      <c r="BL66" s="62"/>
      <c r="BM66" s="64"/>
      <c r="BN66" s="62"/>
      <c r="BP66" s="65"/>
      <c r="BQ66" s="62"/>
      <c r="BR66" s="64"/>
      <c r="BS66" s="62"/>
      <c r="BU66" s="65"/>
      <c r="BV66" s="62"/>
      <c r="BW66" s="64"/>
      <c r="BX66" s="62"/>
      <c r="BZ66" s="65"/>
      <c r="CA66" s="62"/>
      <c r="CB66" s="64"/>
      <c r="CC66" s="62"/>
      <c r="CE66" s="65"/>
      <c r="CF66" s="62"/>
      <c r="CG66" s="64"/>
      <c r="CH66" s="62"/>
      <c r="CJ66" s="65"/>
      <c r="CK66" s="62"/>
      <c r="CL66" s="64"/>
      <c r="CM66" s="62"/>
    </row>
    <row r="67" spans="8:91" ht="12.75">
      <c r="H67" s="77">
        <f t="shared" si="46"/>
        <v>0.007962962962962963</v>
      </c>
      <c r="N67" s="62"/>
      <c r="O67" s="64"/>
      <c r="P67" s="62"/>
      <c r="Q67" s="134"/>
      <c r="R67" s="137"/>
      <c r="S67" s="134"/>
      <c r="T67" s="136"/>
      <c r="U67" s="62"/>
      <c r="W67" s="65"/>
      <c r="X67" s="62"/>
      <c r="Y67" s="64"/>
      <c r="Z67" s="62"/>
      <c r="AB67" s="65"/>
      <c r="AC67" s="62"/>
      <c r="AD67" s="64"/>
      <c r="AE67" s="62"/>
      <c r="AG67" s="65"/>
      <c r="AH67" s="62"/>
      <c r="AI67" s="64"/>
      <c r="AJ67" s="62"/>
      <c r="AL67" s="65"/>
      <c r="AM67" s="62"/>
      <c r="AN67" s="64"/>
      <c r="AO67" s="62"/>
      <c r="AQ67" s="65"/>
      <c r="AR67" s="62"/>
      <c r="AS67" s="64"/>
      <c r="AT67" s="62"/>
      <c r="AV67" s="65"/>
      <c r="AW67" s="62"/>
      <c r="AX67" s="64"/>
      <c r="AY67" s="62"/>
      <c r="BA67" s="65"/>
      <c r="BB67" s="62"/>
      <c r="BC67" s="64"/>
      <c r="BD67" s="62"/>
      <c r="BF67" s="65"/>
      <c r="BG67" s="62"/>
      <c r="BH67" s="64"/>
      <c r="BI67" s="62"/>
      <c r="BK67" s="65"/>
      <c r="BL67" s="62"/>
      <c r="BM67" s="64"/>
      <c r="BN67" s="62"/>
      <c r="BP67" s="65"/>
      <c r="BQ67" s="62"/>
      <c r="BR67" s="64"/>
      <c r="BS67" s="62"/>
      <c r="BU67" s="65"/>
      <c r="BV67" s="62"/>
      <c r="BW67" s="64"/>
      <c r="BX67" s="62"/>
      <c r="BZ67" s="65"/>
      <c r="CA67" s="62"/>
      <c r="CB67" s="64"/>
      <c r="CC67" s="62"/>
      <c r="CE67" s="65"/>
      <c r="CF67" s="62"/>
      <c r="CG67" s="64"/>
      <c r="CH67" s="62"/>
      <c r="CJ67" s="65"/>
      <c r="CK67" s="62"/>
      <c r="CL67" s="64"/>
      <c r="CM67" s="62"/>
    </row>
    <row r="68" spans="8:91" ht="12.75">
      <c r="H68" s="77">
        <f t="shared" si="46"/>
        <v>0.007650462962962963</v>
      </c>
      <c r="N68" s="62"/>
      <c r="O68" s="64"/>
      <c r="P68" s="62"/>
      <c r="Q68" s="134"/>
      <c r="R68" s="137"/>
      <c r="S68" s="134"/>
      <c r="T68" s="136"/>
      <c r="U68" s="62"/>
      <c r="W68" s="65"/>
      <c r="X68" s="62"/>
      <c r="Y68" s="64"/>
      <c r="Z68" s="62"/>
      <c r="AB68" s="65"/>
      <c r="AC68" s="62"/>
      <c r="AD68" s="64"/>
      <c r="AE68" s="62"/>
      <c r="AG68" s="65"/>
      <c r="AH68" s="62"/>
      <c r="AI68" s="64"/>
      <c r="AJ68" s="62"/>
      <c r="AL68" s="65"/>
      <c r="AM68" s="62"/>
      <c r="AN68" s="64"/>
      <c r="AO68" s="62"/>
      <c r="AQ68" s="65"/>
      <c r="AR68" s="62"/>
      <c r="AS68" s="64"/>
      <c r="AT68" s="62"/>
      <c r="AV68" s="65"/>
      <c r="AW68" s="62"/>
      <c r="AX68" s="64"/>
      <c r="AY68" s="62"/>
      <c r="BA68" s="65"/>
      <c r="BB68" s="62"/>
      <c r="BC68" s="64"/>
      <c r="BD68" s="62"/>
      <c r="BF68" s="65"/>
      <c r="BG68" s="62"/>
      <c r="BH68" s="64"/>
      <c r="BI68" s="62"/>
      <c r="BK68" s="65"/>
      <c r="BL68" s="62"/>
      <c r="BM68" s="64"/>
      <c r="BN68" s="62"/>
      <c r="BP68" s="65"/>
      <c r="BQ68" s="62"/>
      <c r="BR68" s="64"/>
      <c r="BS68" s="62"/>
      <c r="BU68" s="65"/>
      <c r="BV68" s="62"/>
      <c r="BW68" s="64"/>
      <c r="BX68" s="62"/>
      <c r="BZ68" s="65"/>
      <c r="CA68" s="62"/>
      <c r="CB68" s="64"/>
      <c r="CC68" s="62"/>
      <c r="CE68" s="65"/>
      <c r="CF68" s="62"/>
      <c r="CG68" s="64"/>
      <c r="CH68" s="62"/>
      <c r="CJ68" s="65"/>
      <c r="CK68" s="62"/>
      <c r="CL68" s="64"/>
      <c r="CM68" s="62"/>
    </row>
    <row r="69" spans="8:91" ht="12.75">
      <c r="H69" s="77">
        <f t="shared" si="46"/>
        <v>0.007516203703703705</v>
      </c>
      <c r="N69" s="62"/>
      <c r="O69" s="64"/>
      <c r="P69" s="62"/>
      <c r="Q69" s="134"/>
      <c r="R69" s="137"/>
      <c r="S69" s="134"/>
      <c r="T69" s="136"/>
      <c r="U69" s="62"/>
      <c r="W69" s="65"/>
      <c r="X69" s="62"/>
      <c r="Y69" s="64"/>
      <c r="Z69" s="62"/>
      <c r="AB69" s="65"/>
      <c r="AC69" s="62"/>
      <c r="AD69" s="64"/>
      <c r="AE69" s="62"/>
      <c r="AG69" s="65"/>
      <c r="AH69" s="62"/>
      <c r="AI69" s="64"/>
      <c r="AJ69" s="62"/>
      <c r="AL69" s="65"/>
      <c r="AM69" s="62"/>
      <c r="AN69" s="64"/>
      <c r="AO69" s="62"/>
      <c r="AQ69" s="65"/>
      <c r="AR69" s="62"/>
      <c r="AS69" s="64"/>
      <c r="AT69" s="62"/>
      <c r="AV69" s="65"/>
      <c r="AW69" s="62"/>
      <c r="AX69" s="64"/>
      <c r="AY69" s="62"/>
      <c r="BA69" s="65"/>
      <c r="BB69" s="62"/>
      <c r="BC69" s="64"/>
      <c r="BD69" s="62"/>
      <c r="BF69" s="65"/>
      <c r="BG69" s="62"/>
      <c r="BH69" s="64"/>
      <c r="BI69" s="62"/>
      <c r="BK69" s="65"/>
      <c r="BL69" s="62"/>
      <c r="BM69" s="64"/>
      <c r="BN69" s="62"/>
      <c r="BP69" s="65"/>
      <c r="BQ69" s="62"/>
      <c r="BR69" s="64"/>
      <c r="BS69" s="62"/>
      <c r="BU69" s="65"/>
      <c r="BV69" s="62"/>
      <c r="BW69" s="64"/>
      <c r="BX69" s="62"/>
      <c r="BZ69" s="65"/>
      <c r="CA69" s="62"/>
      <c r="CB69" s="64"/>
      <c r="CC69" s="62"/>
      <c r="CE69" s="65"/>
      <c r="CF69" s="62"/>
      <c r="CG69" s="64"/>
      <c r="CH69" s="62"/>
      <c r="CJ69" s="65"/>
      <c r="CK69" s="62"/>
      <c r="CL69" s="64"/>
      <c r="CM69" s="62"/>
    </row>
    <row r="70" spans="8:91" ht="12.75">
      <c r="H70" s="77">
        <f t="shared" si="46"/>
        <v>0.00769675925925926</v>
      </c>
      <c r="N70" s="62"/>
      <c r="O70" s="64"/>
      <c r="P70" s="62"/>
      <c r="Q70" s="134"/>
      <c r="R70" s="137"/>
      <c r="S70" s="134"/>
      <c r="T70" s="136"/>
      <c r="U70" s="62"/>
      <c r="W70" s="65"/>
      <c r="X70" s="62"/>
      <c r="Y70" s="64"/>
      <c r="Z70" s="62"/>
      <c r="AB70" s="65"/>
      <c r="AC70" s="62"/>
      <c r="AD70" s="64"/>
      <c r="AE70" s="62"/>
      <c r="AG70" s="65"/>
      <c r="AH70" s="62"/>
      <c r="AI70" s="64"/>
      <c r="AJ70" s="62"/>
      <c r="AL70" s="65"/>
      <c r="AM70" s="62"/>
      <c r="AN70" s="64"/>
      <c r="AO70" s="62"/>
      <c r="AQ70" s="65"/>
      <c r="AR70" s="62"/>
      <c r="AS70" s="64"/>
      <c r="AT70" s="62"/>
      <c r="AV70" s="65"/>
      <c r="AW70" s="62"/>
      <c r="AX70" s="64"/>
      <c r="AY70" s="62"/>
      <c r="BA70" s="65"/>
      <c r="BB70" s="62"/>
      <c r="BC70" s="64"/>
      <c r="BD70" s="62"/>
      <c r="BF70" s="65"/>
      <c r="BG70" s="62"/>
      <c r="BH70" s="64"/>
      <c r="BI70" s="62"/>
      <c r="BK70" s="65"/>
      <c r="BL70" s="62"/>
      <c r="BM70" s="64"/>
      <c r="BN70" s="62"/>
      <c r="BP70" s="65"/>
      <c r="BQ70" s="62"/>
      <c r="BR70" s="64"/>
      <c r="BS70" s="62"/>
      <c r="BU70" s="65"/>
      <c r="BV70" s="62"/>
      <c r="BW70" s="64"/>
      <c r="BX70" s="62"/>
      <c r="BZ70" s="65"/>
      <c r="CA70" s="62"/>
      <c r="CB70" s="64"/>
      <c r="CC70" s="62"/>
      <c r="CE70" s="65"/>
      <c r="CF70" s="62"/>
      <c r="CG70" s="64"/>
      <c r="CH70" s="62"/>
      <c r="CJ70" s="65"/>
      <c r="CK70" s="62"/>
      <c r="CL70" s="64"/>
      <c r="CM70" s="62"/>
    </row>
    <row r="71" spans="8:91" ht="12.75">
      <c r="H71" s="77">
        <f t="shared" si="46"/>
        <v>0.007638888888888889</v>
      </c>
      <c r="N71" s="62"/>
      <c r="O71" s="64"/>
      <c r="P71" s="62"/>
      <c r="Q71" s="134"/>
      <c r="R71" s="137"/>
      <c r="S71" s="134"/>
      <c r="T71" s="136"/>
      <c r="U71" s="62"/>
      <c r="W71" s="65"/>
      <c r="X71" s="62"/>
      <c r="Y71" s="64"/>
      <c r="Z71" s="62"/>
      <c r="AB71" s="65"/>
      <c r="AC71" s="62"/>
      <c r="AD71" s="64"/>
      <c r="AE71" s="62"/>
      <c r="AG71" s="65"/>
      <c r="AH71" s="62"/>
      <c r="AI71" s="64"/>
      <c r="AJ71" s="62"/>
      <c r="AL71" s="65"/>
      <c r="AM71" s="62"/>
      <c r="AN71" s="64"/>
      <c r="AO71" s="62"/>
      <c r="AQ71" s="65"/>
      <c r="AR71" s="62"/>
      <c r="AS71" s="64"/>
      <c r="AT71" s="62"/>
      <c r="AV71" s="65"/>
      <c r="AW71" s="62"/>
      <c r="AX71" s="64"/>
      <c r="AY71" s="62"/>
      <c r="BA71" s="65"/>
      <c r="BB71" s="62"/>
      <c r="BC71" s="64"/>
      <c r="BD71" s="62"/>
      <c r="BF71" s="65"/>
      <c r="BG71" s="62"/>
      <c r="BH71" s="64"/>
      <c r="BI71" s="62"/>
      <c r="BK71" s="65"/>
      <c r="BL71" s="62"/>
      <c r="BM71" s="64"/>
      <c r="BN71" s="62"/>
      <c r="BP71" s="65"/>
      <c r="BQ71" s="62"/>
      <c r="BR71" s="64"/>
      <c r="BS71" s="62"/>
      <c r="BU71" s="65"/>
      <c r="BV71" s="62"/>
      <c r="BW71" s="64"/>
      <c r="BX71" s="62"/>
      <c r="BZ71" s="65"/>
      <c r="CA71" s="62"/>
      <c r="CB71" s="64"/>
      <c r="CC71" s="62"/>
      <c r="CE71" s="65"/>
      <c r="CF71" s="62"/>
      <c r="CG71" s="64"/>
      <c r="CH71" s="62"/>
      <c r="CJ71" s="65"/>
      <c r="CK71" s="62"/>
      <c r="CL71" s="64"/>
      <c r="CM71" s="62"/>
    </row>
    <row r="73" ht="12.75">
      <c r="H73" s="67" t="s">
        <v>72</v>
      </c>
    </row>
    <row r="74" ht="12.75">
      <c r="H74" s="77">
        <f aca="true" t="shared" si="47" ref="H74:H80">I14</f>
        <v>0.007569444444444445</v>
      </c>
    </row>
    <row r="75" ht="12.75">
      <c r="H75" s="77">
        <f t="shared" si="47"/>
        <v>0.007361111111111111</v>
      </c>
    </row>
    <row r="76" ht="12.75">
      <c r="H76" s="77">
        <f t="shared" si="47"/>
        <v>0.0078125</v>
      </c>
    </row>
    <row r="77" ht="12.75">
      <c r="H77" s="77">
        <f t="shared" si="47"/>
        <v>0.007430555555555555</v>
      </c>
    </row>
    <row r="78" ht="12.75">
      <c r="H78" s="77">
        <f t="shared" si="47"/>
        <v>0.008206018518518519</v>
      </c>
    </row>
    <row r="79" ht="12.75">
      <c r="H79" s="77">
        <f t="shared" si="47"/>
        <v>0.008101851851851851</v>
      </c>
    </row>
    <row r="80" ht="12.75">
      <c r="H80" s="77">
        <f t="shared" si="47"/>
        <v>0.007881944444444443</v>
      </c>
    </row>
    <row r="81" ht="12.75">
      <c r="H81" s="77">
        <f aca="true" t="shared" si="48" ref="H81:H87">N14</f>
        <v>0.008912037037037038</v>
      </c>
    </row>
    <row r="82" ht="12.75">
      <c r="H82" s="77">
        <f t="shared" si="48"/>
        <v>0.009537037037037037</v>
      </c>
    </row>
    <row r="83" ht="12.75">
      <c r="H83" s="77">
        <f t="shared" si="48"/>
        <v>0.009791666666666666</v>
      </c>
    </row>
    <row r="84" ht="12.75">
      <c r="H84" s="77">
        <f t="shared" si="48"/>
        <v>0.008414351851851852</v>
      </c>
    </row>
    <row r="85" ht="12.75">
      <c r="H85" s="77">
        <f t="shared" si="48"/>
        <v>0.00849537037037037</v>
      </c>
    </row>
    <row r="86" ht="12.75">
      <c r="H86" s="77">
        <f t="shared" si="48"/>
        <v>0.008506944444444444</v>
      </c>
    </row>
    <row r="87" ht="12.75">
      <c r="H87" s="77">
        <f t="shared" si="48"/>
        <v>0.008206018518518519</v>
      </c>
    </row>
  </sheetData>
  <dataValidations count="7">
    <dataValidation type="list" allowBlank="1" showInputMessage="1" showErrorMessage="1" sqref="AL14 AG14 AG4 M14 H4 AV4 AB4 AB14 W4 AQ4 W14 AQ14 M4 AL4 H14 AV14">
      <formula1>$B$28:$E$28</formula1>
    </dataValidation>
    <dataValidation type="list" allowBlank="1" showInputMessage="1" showErrorMessage="1" sqref="AQ15 AG15 M15 W15 H5 AV5 AG5 AB15 AB5 W5 M5 AQ5 AL15 AL5 H15 AV15">
      <formula1>$B$29:$E$29</formula1>
    </dataValidation>
    <dataValidation type="list" allowBlank="1" showInputMessage="1" showErrorMessage="1" sqref="H6 AG16 M16 AV6 W16 AG6 AB6 AL16 AB16 W6 M6 AQ6 AQ16 AL6 H16 AV16">
      <formula1>$B$30:$E$30</formula1>
    </dataValidation>
    <dataValidation type="list" allowBlank="1" showInputMessage="1" showErrorMessage="1" sqref="H7 AG17 M17 AV7 W17 AG7 AQ17 AB17 AB7 W7 M7 AQ7 AL17 AL7 H17 AV17">
      <formula1>$B$31:$E$31</formula1>
    </dataValidation>
    <dataValidation type="list" allowBlank="1" showInputMessage="1" showErrorMessage="1" sqref="H8 AG18 M8 W8 AB8 AG8 AL8 AQ8 AV8 AL18 M18 AQ18 H18 W18 AB18 AV18">
      <formula1>$B$32:$E$32</formula1>
    </dataValidation>
    <dataValidation type="list" allowBlank="1" showInputMessage="1" showErrorMessage="1" sqref="H19 AG19 M9 W9 AB9 AG9 AL9 AQ9 AV9 AL19 AB19 AQ19 H9 W19 M19 AV19">
      <formula1>$B$33:$E$33</formula1>
    </dataValidation>
    <dataValidation type="list" allowBlank="1" showInputMessage="1" showErrorMessage="1" sqref="H20 AG20 M10 W10 AB10 AG10 AL10 AQ10 AV10 AL20 AB20 AQ20 H10 W20 M20 AV20">
      <formula1>$B$34:$E$34</formula1>
    </dataValidation>
  </dataValidations>
  <printOptions/>
  <pageMargins left="0.36" right="0.59" top="1" bottom="1" header="0.5" footer="0.5"/>
  <pageSetup fitToHeight="1" fitToWidth="1" horizontalDpi="300" verticalDpi="3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19"/>
  <sheetViews>
    <sheetView showZeros="0" workbookViewId="0" topLeftCell="A1">
      <pane xSplit="1" topLeftCell="AO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4.140625" style="37" customWidth="1"/>
    <col min="2" max="2" width="32.7109375" style="95" customWidth="1"/>
    <col min="3" max="3" width="6.7109375" style="37" customWidth="1"/>
    <col min="4" max="4" width="10.140625" style="37" bestFit="1" customWidth="1"/>
    <col min="5" max="5" width="15.7109375" style="95" customWidth="1"/>
    <col min="6" max="6" width="6.7109375" style="37" customWidth="1"/>
    <col min="7" max="7" width="10.140625" style="37" bestFit="1" customWidth="1"/>
    <col min="8" max="8" width="15.7109375" style="95" customWidth="1"/>
    <col min="9" max="9" width="6.7109375" style="37" customWidth="1"/>
    <col min="10" max="10" width="10.140625" style="37" bestFit="1" customWidth="1"/>
    <col min="11" max="11" width="15.7109375" style="95" customWidth="1"/>
    <col min="12" max="12" width="6.7109375" style="37" customWidth="1"/>
    <col min="13" max="13" width="10.140625" style="37" bestFit="1" customWidth="1"/>
    <col min="14" max="14" width="15.7109375" style="95" customWidth="1"/>
    <col min="15" max="15" width="6.7109375" style="37" customWidth="1"/>
    <col min="16" max="16" width="10.140625" style="37" bestFit="1" customWidth="1"/>
    <col min="17" max="17" width="15.7109375" style="95" customWidth="1"/>
    <col min="18" max="18" width="6.7109375" style="37" customWidth="1"/>
    <col min="19" max="19" width="10.140625" style="37" bestFit="1" customWidth="1"/>
    <col min="20" max="20" width="15.7109375" style="95" customWidth="1"/>
    <col min="21" max="21" width="6.7109375" style="37" customWidth="1"/>
    <col min="22" max="22" width="10.140625" style="37" bestFit="1" customWidth="1"/>
    <col min="23" max="23" width="32.7109375" style="95" customWidth="1"/>
    <col min="24" max="24" width="6.7109375" style="37" customWidth="1"/>
    <col min="25" max="25" width="10.140625" style="37" bestFit="1" customWidth="1"/>
    <col min="26" max="26" width="15.7109375" style="95" customWidth="1"/>
    <col min="27" max="27" width="6.7109375" style="37" customWidth="1"/>
    <col min="28" max="28" width="10.140625" style="37" bestFit="1" customWidth="1"/>
    <col min="29" max="29" width="15.7109375" style="95" customWidth="1"/>
    <col min="30" max="30" width="6.7109375" style="37" customWidth="1"/>
    <col min="31" max="31" width="10.140625" style="37" bestFit="1" customWidth="1"/>
    <col min="32" max="32" width="15.7109375" style="95" customWidth="1"/>
    <col min="33" max="33" width="6.7109375" style="37" customWidth="1"/>
    <col min="34" max="34" width="10.140625" style="37" bestFit="1" customWidth="1"/>
    <col min="35" max="35" width="15.7109375" style="95" customWidth="1"/>
    <col min="36" max="36" width="6.7109375" style="37" customWidth="1"/>
    <col min="37" max="37" width="10.140625" style="37" bestFit="1" customWidth="1"/>
    <col min="38" max="38" width="15.7109375" style="95" customWidth="1"/>
    <col min="39" max="39" width="6.7109375" style="37" customWidth="1"/>
    <col min="40" max="40" width="10.140625" style="37" bestFit="1" customWidth="1"/>
    <col min="41" max="41" width="15.7109375" style="95" customWidth="1"/>
    <col min="42" max="42" width="6.7109375" style="37" customWidth="1"/>
    <col min="43" max="43" width="10.140625" style="37" bestFit="1" customWidth="1"/>
    <col min="44" max="44" width="52.140625" style="114" customWidth="1"/>
    <col min="45" max="45" width="16.00390625" style="114" customWidth="1"/>
    <col min="46" max="59" width="9.140625" style="114" customWidth="1"/>
    <col min="60" max="16384" width="9.140625" style="37" customWidth="1"/>
  </cols>
  <sheetData>
    <row r="2" spans="2:43" ht="12.75">
      <c r="B2" s="103" t="s">
        <v>5</v>
      </c>
      <c r="C2" s="104"/>
      <c r="D2" s="105"/>
      <c r="E2" s="103" t="s">
        <v>12</v>
      </c>
      <c r="F2" s="104"/>
      <c r="G2" s="105"/>
      <c r="H2" s="103" t="s">
        <v>13</v>
      </c>
      <c r="I2" s="104"/>
      <c r="J2" s="105"/>
      <c r="K2" s="103" t="s">
        <v>14</v>
      </c>
      <c r="L2" s="104"/>
      <c r="M2" s="105"/>
      <c r="N2" s="103" t="s">
        <v>15</v>
      </c>
      <c r="O2" s="104"/>
      <c r="P2" s="105"/>
      <c r="Q2" s="103" t="s">
        <v>16</v>
      </c>
      <c r="R2" s="104"/>
      <c r="S2" s="105"/>
      <c r="T2" s="103" t="s">
        <v>17</v>
      </c>
      <c r="U2" s="104"/>
      <c r="V2" s="105"/>
      <c r="W2" s="103" t="s">
        <v>18</v>
      </c>
      <c r="X2" s="104"/>
      <c r="Y2" s="105"/>
      <c r="Z2" s="103" t="s">
        <v>21</v>
      </c>
      <c r="AA2" s="104"/>
      <c r="AB2" s="105"/>
      <c r="AC2" s="103" t="s">
        <v>22</v>
      </c>
      <c r="AD2" s="104"/>
      <c r="AE2" s="105"/>
      <c r="AF2" s="103" t="s">
        <v>23</v>
      </c>
      <c r="AG2" s="104"/>
      <c r="AH2" s="105"/>
      <c r="AI2" s="103" t="s">
        <v>24</v>
      </c>
      <c r="AJ2" s="104"/>
      <c r="AK2" s="105"/>
      <c r="AL2" s="103" t="s">
        <v>25</v>
      </c>
      <c r="AM2" s="104"/>
      <c r="AN2" s="105"/>
      <c r="AO2" s="103" t="s">
        <v>26</v>
      </c>
      <c r="AP2" s="104"/>
      <c r="AQ2" s="105"/>
    </row>
    <row r="3" spans="1:59" s="39" customFormat="1" ht="19.5" customHeight="1">
      <c r="A3" s="96" t="s">
        <v>0</v>
      </c>
      <c r="B3" s="97" t="s">
        <v>6</v>
      </c>
      <c r="C3" s="98" t="s">
        <v>7</v>
      </c>
      <c r="D3" s="99" t="s">
        <v>41</v>
      </c>
      <c r="E3" s="100" t="s">
        <v>6</v>
      </c>
      <c r="F3" s="101" t="s">
        <v>7</v>
      </c>
      <c r="G3" s="102" t="s">
        <v>41</v>
      </c>
      <c r="H3" s="100" t="s">
        <v>6</v>
      </c>
      <c r="I3" s="101" t="s">
        <v>7</v>
      </c>
      <c r="J3" s="102" t="s">
        <v>41</v>
      </c>
      <c r="K3" s="100" t="s">
        <v>6</v>
      </c>
      <c r="L3" s="101" t="s">
        <v>7</v>
      </c>
      <c r="M3" s="102" t="s">
        <v>41</v>
      </c>
      <c r="N3" s="100" t="s">
        <v>6</v>
      </c>
      <c r="O3" s="101" t="s">
        <v>7</v>
      </c>
      <c r="P3" s="102" t="s">
        <v>41</v>
      </c>
      <c r="Q3" s="100" t="s">
        <v>6</v>
      </c>
      <c r="R3" s="101" t="s">
        <v>7</v>
      </c>
      <c r="S3" s="102" t="s">
        <v>41</v>
      </c>
      <c r="T3" s="100" t="s">
        <v>6</v>
      </c>
      <c r="U3" s="101" t="s">
        <v>7</v>
      </c>
      <c r="V3" s="102" t="s">
        <v>41</v>
      </c>
      <c r="W3" s="100" t="s">
        <v>6</v>
      </c>
      <c r="X3" s="101" t="s">
        <v>7</v>
      </c>
      <c r="Y3" s="102" t="s">
        <v>41</v>
      </c>
      <c r="Z3" s="100" t="s">
        <v>6</v>
      </c>
      <c r="AA3" s="101" t="s">
        <v>7</v>
      </c>
      <c r="AB3" s="102" t="s">
        <v>41</v>
      </c>
      <c r="AC3" s="100" t="s">
        <v>6</v>
      </c>
      <c r="AD3" s="101" t="s">
        <v>7</v>
      </c>
      <c r="AE3" s="102" t="s">
        <v>41</v>
      </c>
      <c r="AF3" s="100" t="s">
        <v>6</v>
      </c>
      <c r="AG3" s="101" t="s">
        <v>7</v>
      </c>
      <c r="AH3" s="102" t="s">
        <v>41</v>
      </c>
      <c r="AI3" s="100" t="s">
        <v>6</v>
      </c>
      <c r="AJ3" s="101" t="s">
        <v>7</v>
      </c>
      <c r="AK3" s="102" t="s">
        <v>41</v>
      </c>
      <c r="AL3" s="100" t="s">
        <v>6</v>
      </c>
      <c r="AM3" s="101" t="s">
        <v>7</v>
      </c>
      <c r="AN3" s="102" t="s">
        <v>41</v>
      </c>
      <c r="AO3" s="100" t="s">
        <v>6</v>
      </c>
      <c r="AP3" s="101" t="s">
        <v>7</v>
      </c>
      <c r="AQ3" s="102" t="s">
        <v>41</v>
      </c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</row>
    <row r="4" spans="1:59" s="39" customFormat="1" ht="19.5" customHeight="1">
      <c r="A4" s="91" t="str">
        <f>'Team Selection'!B3</f>
        <v>The Asthmatics + Dan</v>
      </c>
      <c r="B4" s="92" t="str">
        <f>'Stage  Entry'!R4</f>
        <v>Dan Hornery &amp; Anthony Mithen</v>
      </c>
      <c r="C4" s="93">
        <f>'Stage  Entry'!S4</f>
        <v>0.01476851851851852</v>
      </c>
      <c r="D4" s="94">
        <f aca="true" t="shared" si="0" ref="D4:D10">C4</f>
        <v>0.01476851851851852</v>
      </c>
      <c r="E4" s="92" t="str">
        <f>'Stage  Entry'!W4</f>
        <v>Scott Bales</v>
      </c>
      <c r="F4" s="93">
        <f>'Stage  Entry'!X4</f>
        <v>0.010497685185185186</v>
      </c>
      <c r="G4" s="94">
        <f aca="true" t="shared" si="1" ref="G4:G10">D4+F4</f>
        <v>0.025266203703703707</v>
      </c>
      <c r="H4" s="92" t="str">
        <f>'Stage  Entry'!AB4</f>
        <v>Wayne Williams</v>
      </c>
      <c r="I4" s="93">
        <f>'Stage  Entry'!AC4</f>
        <v>0.010219907407407408</v>
      </c>
      <c r="J4" s="94">
        <f aca="true" t="shared" si="2" ref="J4:J10">G4+I4</f>
        <v>0.035486111111111114</v>
      </c>
      <c r="K4" s="92" t="str">
        <f>'Stage  Entry'!AG4</f>
        <v>Anthony Mithen</v>
      </c>
      <c r="L4" s="93">
        <f>'Stage  Entry'!AH4</f>
        <v>0.010636574074074074</v>
      </c>
      <c r="M4" s="94">
        <f aca="true" t="shared" si="3" ref="M4:M10">J4+L4</f>
        <v>0.04612268518518519</v>
      </c>
      <c r="N4" s="92" t="str">
        <f>'Stage  Entry'!AL4</f>
        <v>Dan Hornery</v>
      </c>
      <c r="O4" s="93">
        <f>'Stage  Entry'!AM4</f>
        <v>0.009768518518518518</v>
      </c>
      <c r="P4" s="94">
        <f aca="true" t="shared" si="4" ref="P4:P10">M4+O4</f>
        <v>0.05589120370370371</v>
      </c>
      <c r="Q4" s="92" t="str">
        <f>'Stage  Entry'!AQ4</f>
        <v>Scott Bales</v>
      </c>
      <c r="R4" s="93">
        <f>'Stage  Entry'!AR4</f>
        <v>0.010787037037037038</v>
      </c>
      <c r="S4" s="94">
        <f aca="true" t="shared" si="5" ref="S4:S10">P4+R4</f>
        <v>0.06667824074074075</v>
      </c>
      <c r="T4" s="92" t="str">
        <f>'Stage  Entry'!AV4</f>
        <v>Wayne Williams</v>
      </c>
      <c r="U4" s="93">
        <f>'Stage  Entry'!AW4</f>
        <v>0.009050925925925926</v>
      </c>
      <c r="V4" s="94">
        <f aca="true" t="shared" si="6" ref="V4:V10">S4+U4</f>
        <v>0.07572916666666667</v>
      </c>
      <c r="W4" s="92" t="str">
        <f>'Stage  Entry'!R14</f>
        <v>Wayne Williams &amp; Scott Bales</v>
      </c>
      <c r="X4" s="93">
        <f>'Stage  Entry'!S14</f>
        <v>0.016481481481481482</v>
      </c>
      <c r="Y4" s="94">
        <f aca="true" t="shared" si="7" ref="Y4:Y10">V4+X4</f>
        <v>0.09221064814814815</v>
      </c>
      <c r="Z4" s="92" t="str">
        <f>'Stage  Entry'!W14</f>
        <v>Dan Hornery</v>
      </c>
      <c r="AA4" s="93">
        <f>'Stage  Entry'!X14</f>
        <v>0.008935185185185187</v>
      </c>
      <c r="AB4" s="94">
        <f aca="true" t="shared" si="8" ref="AB4:AB10">Y4+AA4</f>
        <v>0.10114583333333334</v>
      </c>
      <c r="AC4" s="92" t="str">
        <f>'Stage  Entry'!AB14</f>
        <v>Anthony Mithen</v>
      </c>
      <c r="AD4" s="93">
        <f>'Stage  Entry'!AC14</f>
        <v>0.0109375</v>
      </c>
      <c r="AE4" s="94">
        <f aca="true" t="shared" si="9" ref="AE4:AE10">AB4+AD4</f>
        <v>0.11208333333333334</v>
      </c>
      <c r="AF4" s="92" t="str">
        <f>'Stage  Entry'!AG14</f>
        <v>Scott Bales</v>
      </c>
      <c r="AG4" s="93">
        <f>'Stage  Entry'!AH14</f>
        <v>0.010590277777777777</v>
      </c>
      <c r="AH4" s="94">
        <f aca="true" t="shared" si="10" ref="AH4:AH10">AE4+AG4</f>
        <v>0.12267361111111112</v>
      </c>
      <c r="AI4" s="92" t="str">
        <f>'Stage  Entry'!AL14</f>
        <v>Wayne Williams</v>
      </c>
      <c r="AJ4" s="93">
        <f>'Stage  Entry'!AM14</f>
        <v>0.011504629629629629</v>
      </c>
      <c r="AK4" s="94">
        <f aca="true" t="shared" si="11" ref="AK4:AK10">AH4+AJ4</f>
        <v>0.13417824074074075</v>
      </c>
      <c r="AL4" s="92" t="str">
        <f>'Stage  Entry'!AQ14</f>
        <v>Dan Hornery</v>
      </c>
      <c r="AM4" s="93">
        <f>'Stage  Entry'!AR14</f>
        <v>0.010300925925925927</v>
      </c>
      <c r="AN4" s="94">
        <f aca="true" t="shared" si="12" ref="AN4:AN10">AK4+AM4</f>
        <v>0.1444791666666667</v>
      </c>
      <c r="AO4" s="92" t="str">
        <f>'Stage  Entry'!AV14</f>
        <v>Anthony Mithen</v>
      </c>
      <c r="AP4" s="93">
        <f>'Stage  Entry'!AW14</f>
        <v>0.009641203703703704</v>
      </c>
      <c r="AQ4" s="94">
        <f aca="true" t="shared" si="13" ref="AQ4:AQ10">AN4+AP4</f>
        <v>0.15412037037037038</v>
      </c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</row>
    <row r="5" spans="1:59" s="39" customFormat="1" ht="19.5" customHeight="1">
      <c r="A5" s="91" t="str">
        <f>'Team Selection'!B4</f>
        <v>The Also-Rans</v>
      </c>
      <c r="B5" s="92" t="str">
        <f>'Stage  Entry'!R5</f>
        <v>Colin Thornton &amp; Bruce Arthur</v>
      </c>
      <c r="C5" s="93">
        <f>'Stage  Entry'!S5</f>
        <v>0.01548611111111111</v>
      </c>
      <c r="D5" s="94">
        <f t="shared" si="0"/>
        <v>0.01548611111111111</v>
      </c>
      <c r="E5" s="92" t="str">
        <f>'Stage  Entry'!W5</f>
        <v>Jim Grelis</v>
      </c>
      <c r="F5" s="93">
        <f>'Stage  Entry'!X5</f>
        <v>0.010810185185185185</v>
      </c>
      <c r="G5" s="94">
        <f t="shared" si="1"/>
        <v>0.026296296296296297</v>
      </c>
      <c r="H5" s="92" t="str">
        <f>'Stage  Entry'!AB5</f>
        <v>Anthony Weiland</v>
      </c>
      <c r="I5" s="93">
        <f>'Stage  Entry'!AC5</f>
        <v>0.01005787037037037</v>
      </c>
      <c r="J5" s="94">
        <f t="shared" si="2"/>
        <v>0.03635416666666667</v>
      </c>
      <c r="K5" s="92" t="str">
        <f>'Stage  Entry'!AG5</f>
        <v>Bruce Arthur</v>
      </c>
      <c r="L5" s="93">
        <f>'Stage  Entry'!AH5</f>
        <v>0.010497685185185186</v>
      </c>
      <c r="M5" s="94">
        <f t="shared" si="3"/>
        <v>0.04685185185185185</v>
      </c>
      <c r="N5" s="92" t="str">
        <f>'Stage  Entry'!AL5</f>
        <v>Colin Thornton</v>
      </c>
      <c r="O5" s="93">
        <f>'Stage  Entry'!AM5</f>
        <v>0.010729166666666666</v>
      </c>
      <c r="P5" s="94">
        <f t="shared" si="4"/>
        <v>0.05758101851851852</v>
      </c>
      <c r="Q5" s="92" t="str">
        <f>'Stage  Entry'!AQ5</f>
        <v>Jim Grelis</v>
      </c>
      <c r="R5" s="93">
        <f>'Stage  Entry'!AR5</f>
        <v>0.011666666666666667</v>
      </c>
      <c r="S5" s="94">
        <f t="shared" si="5"/>
        <v>0.06924768518518519</v>
      </c>
      <c r="T5" s="92" t="str">
        <f>'Stage  Entry'!AV5</f>
        <v>Anthony Weiland</v>
      </c>
      <c r="U5" s="93">
        <f>'Stage  Entry'!AW5</f>
        <v>0.008900462962962962</v>
      </c>
      <c r="V5" s="94">
        <f t="shared" si="6"/>
        <v>0.07814814814814815</v>
      </c>
      <c r="W5" s="92" t="str">
        <f>'Stage  Entry'!R15</f>
        <v>Anthony Weiland &amp; Jim Grelis</v>
      </c>
      <c r="X5" s="93">
        <f>'Stage  Entry'!S15</f>
        <v>0.016898148148148148</v>
      </c>
      <c r="Y5" s="94">
        <f t="shared" si="7"/>
        <v>0.0950462962962963</v>
      </c>
      <c r="Z5" s="92" t="str">
        <f>'Stage  Entry'!W15</f>
        <v>Bruce Arthur</v>
      </c>
      <c r="AA5" s="93">
        <f>'Stage  Entry'!X15</f>
        <v>0.01068287037037037</v>
      </c>
      <c r="AB5" s="94">
        <f t="shared" si="8"/>
        <v>0.10572916666666667</v>
      </c>
      <c r="AC5" s="92" t="str">
        <f>'Stage  Entry'!AB15</f>
        <v>Colin Thornton</v>
      </c>
      <c r="AD5" s="93">
        <f>'Stage  Entry'!AC15</f>
        <v>0.010659722222222221</v>
      </c>
      <c r="AE5" s="94">
        <f t="shared" si="9"/>
        <v>0.11638888888888889</v>
      </c>
      <c r="AF5" s="92" t="str">
        <f>'Stage  Entry'!AG15</f>
        <v>Bruce Arthur</v>
      </c>
      <c r="AG5" s="93">
        <f>'Stage  Entry'!AH15</f>
        <v>0.00917824074074074</v>
      </c>
      <c r="AH5" s="94">
        <f t="shared" si="10"/>
        <v>0.12556712962962963</v>
      </c>
      <c r="AI5" s="92" t="str">
        <f>'Stage  Entry'!AL15</f>
        <v>Anthony Weiland</v>
      </c>
      <c r="AJ5" s="93">
        <f>'Stage  Entry'!AM15</f>
        <v>0.011747685185185186</v>
      </c>
      <c r="AK5" s="94">
        <f t="shared" si="11"/>
        <v>0.1373148148148148</v>
      </c>
      <c r="AL5" s="92" t="str">
        <f>'Stage  Entry'!AQ15</f>
        <v>Colin Thornton</v>
      </c>
      <c r="AM5" s="93">
        <f>'Stage  Entry'!AR15</f>
        <v>0.011111111111111112</v>
      </c>
      <c r="AN5" s="94">
        <f t="shared" si="12"/>
        <v>0.1484259259259259</v>
      </c>
      <c r="AO5" s="92" t="str">
        <f>'Stage  Entry'!AV15</f>
        <v>Jim Grelis</v>
      </c>
      <c r="AP5" s="93">
        <f>'Stage  Entry'!AW15</f>
        <v>0.012025462962962962</v>
      </c>
      <c r="AQ5" s="94">
        <f t="shared" si="13"/>
        <v>0.16045138888888888</v>
      </c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</row>
    <row r="6" spans="1:59" s="39" customFormat="1" ht="19.5" customHeight="1">
      <c r="A6" s="91" t="str">
        <f>'Team Selection'!B5</f>
        <v>Coleman's Comrades</v>
      </c>
      <c r="B6" s="92" t="str">
        <f>'Stage  Entry'!R6</f>
        <v>Brett Coleman &amp; Shane Fielding</v>
      </c>
      <c r="C6" s="93">
        <f>'Stage  Entry'!S6</f>
        <v>0.015219907407407408</v>
      </c>
      <c r="D6" s="94">
        <f t="shared" si="0"/>
        <v>0.015219907407407408</v>
      </c>
      <c r="E6" s="92" t="str">
        <f>'Stage  Entry'!W6</f>
        <v>Matt Lowth</v>
      </c>
      <c r="F6" s="93">
        <f>'Stage  Entry'!X6</f>
        <v>0.011458333333333334</v>
      </c>
      <c r="G6" s="94">
        <f t="shared" si="1"/>
        <v>0.026678240740740742</v>
      </c>
      <c r="H6" s="92" t="str">
        <f>'Stage  Entry'!AB6</f>
        <v>Charles Chambers</v>
      </c>
      <c r="I6" s="93">
        <f>'Stage  Entry'!AC6</f>
        <v>0.010555555555555554</v>
      </c>
      <c r="J6" s="94">
        <f t="shared" si="2"/>
        <v>0.03723379629629629</v>
      </c>
      <c r="K6" s="92" t="str">
        <f>'Stage  Entry'!AG6</f>
        <v>Shane Fielding</v>
      </c>
      <c r="L6" s="93">
        <f>'Stage  Entry'!AH6</f>
        <v>0.010127314814814815</v>
      </c>
      <c r="M6" s="94">
        <f t="shared" si="3"/>
        <v>0.047361111111111104</v>
      </c>
      <c r="N6" s="92" t="str">
        <f>'Stage  Entry'!AL6</f>
        <v>Brett Coleman</v>
      </c>
      <c r="O6" s="93">
        <f>'Stage  Entry'!AM6</f>
        <v>0.01068287037037037</v>
      </c>
      <c r="P6" s="94">
        <f t="shared" si="4"/>
        <v>0.058043981481481474</v>
      </c>
      <c r="Q6" s="92" t="str">
        <f>'Stage  Entry'!AQ6</f>
        <v>Matt Lowth</v>
      </c>
      <c r="R6" s="93">
        <f>'Stage  Entry'!AR6</f>
        <v>0.011979166666666666</v>
      </c>
      <c r="S6" s="94">
        <f t="shared" si="5"/>
        <v>0.07002314814814814</v>
      </c>
      <c r="T6" s="92" t="str">
        <f>'Stage  Entry'!AV6</f>
        <v>Charles Chambers</v>
      </c>
      <c r="U6" s="93">
        <f>'Stage  Entry'!AW6</f>
        <v>0.009444444444444445</v>
      </c>
      <c r="V6" s="94">
        <f t="shared" si="6"/>
        <v>0.07946759259259259</v>
      </c>
      <c r="W6" s="92" t="str">
        <f>'Stage  Entry'!R16</f>
        <v>Charles Chambers &amp; Matt Lowth</v>
      </c>
      <c r="X6" s="93">
        <f>'Stage  Entry'!S16</f>
        <v>0.017604166666666664</v>
      </c>
      <c r="Y6" s="94">
        <f t="shared" si="7"/>
        <v>0.09707175925925926</v>
      </c>
      <c r="Z6" s="92" t="str">
        <f>'Stage  Entry'!W16</f>
        <v>Shane Fielding</v>
      </c>
      <c r="AA6" s="93">
        <f>'Stage  Entry'!X16</f>
        <v>0.010023148148148147</v>
      </c>
      <c r="AB6" s="94">
        <f t="shared" si="8"/>
        <v>0.1070949074074074</v>
      </c>
      <c r="AC6" s="92" t="str">
        <f>'Stage  Entry'!AB16</f>
        <v>Brett Coleman</v>
      </c>
      <c r="AD6" s="93">
        <f>'Stage  Entry'!AC16</f>
        <v>0.010185185185185184</v>
      </c>
      <c r="AE6" s="94">
        <f t="shared" si="9"/>
        <v>0.11728009259259259</v>
      </c>
      <c r="AF6" s="92" t="str">
        <f>'Stage  Entry'!AG16</f>
        <v>Matt Lowth</v>
      </c>
      <c r="AG6" s="93">
        <f>'Stage  Entry'!AH16</f>
        <v>0.011840277777777778</v>
      </c>
      <c r="AH6" s="94">
        <f t="shared" si="10"/>
        <v>0.12912037037037036</v>
      </c>
      <c r="AI6" s="92" t="str">
        <f>'Stage  Entry'!AL16</f>
        <v>Shane Fielding</v>
      </c>
      <c r="AJ6" s="93">
        <f>'Stage  Entry'!AM16</f>
        <v>0.011157407407407408</v>
      </c>
      <c r="AK6" s="94">
        <f t="shared" si="11"/>
        <v>0.14027777777777778</v>
      </c>
      <c r="AL6" s="92" t="str">
        <f>'Stage  Entry'!AQ16</f>
        <v>Brett Coleman</v>
      </c>
      <c r="AM6" s="93">
        <f>'Stage  Entry'!AR16</f>
        <v>0.011273148148148148</v>
      </c>
      <c r="AN6" s="94">
        <f t="shared" si="12"/>
        <v>0.15155092592592592</v>
      </c>
      <c r="AO6" s="92" t="str">
        <f>'Stage  Entry'!AV16</f>
        <v>Charles Chambers</v>
      </c>
      <c r="AP6" s="93">
        <f>'Stage  Entry'!AW16</f>
        <v>0.009525462962962963</v>
      </c>
      <c r="AQ6" s="94">
        <f t="shared" si="13"/>
        <v>0.1610763888888889</v>
      </c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</row>
    <row r="7" spans="1:59" s="39" customFormat="1" ht="19.5" customHeight="1">
      <c r="A7" s="91" t="str">
        <f>'Team Selection'!B6</f>
        <v>Team Lost</v>
      </c>
      <c r="B7" s="92" t="str">
        <f>'Stage  Entry'!R7</f>
        <v>Paul Martinico &amp; Anthony Lee</v>
      </c>
      <c r="C7" s="93">
        <f>'Stage  Entry'!S7</f>
        <v>0.014907407407407407</v>
      </c>
      <c r="D7" s="94">
        <f t="shared" si="0"/>
        <v>0.014907407407407407</v>
      </c>
      <c r="E7" s="92" t="str">
        <f>'Stage  Entry'!W7</f>
        <v>Craig Harris</v>
      </c>
      <c r="F7" s="93">
        <f>'Stage  Entry'!X7</f>
        <v>0.009988425925925927</v>
      </c>
      <c r="G7" s="94">
        <f t="shared" si="1"/>
        <v>0.024895833333333332</v>
      </c>
      <c r="H7" s="92" t="str">
        <f>'Stage  Entry'!AB7</f>
        <v>Ian Dent</v>
      </c>
      <c r="I7" s="93">
        <f>'Stage  Entry'!AC7</f>
        <v>0.009942129629629629</v>
      </c>
      <c r="J7" s="94">
        <f t="shared" si="2"/>
        <v>0.03483796296296296</v>
      </c>
      <c r="K7" s="92" t="str">
        <f>'Stage  Entry'!AG7</f>
        <v>Anthony Lee</v>
      </c>
      <c r="L7" s="93">
        <f>'Stage  Entry'!AH7</f>
        <v>0.010231481481481482</v>
      </c>
      <c r="M7" s="94">
        <f t="shared" si="3"/>
        <v>0.04506944444444444</v>
      </c>
      <c r="N7" s="92" t="str">
        <f>'Stage  Entry'!AL7</f>
        <v>Paul Martinico</v>
      </c>
      <c r="O7" s="93">
        <f>'Stage  Entry'!AM7</f>
        <v>0.010798611111111111</v>
      </c>
      <c r="P7" s="94">
        <f t="shared" si="4"/>
        <v>0.05586805555555555</v>
      </c>
      <c r="Q7" s="92" t="str">
        <f>'Stage  Entry'!AQ7</f>
        <v>Craig Harris</v>
      </c>
      <c r="R7" s="93">
        <f>'Stage  Entry'!AR7</f>
        <v>0.010335648148148148</v>
      </c>
      <c r="S7" s="94">
        <f t="shared" si="5"/>
        <v>0.0662037037037037</v>
      </c>
      <c r="T7" s="92" t="str">
        <f>'Stage  Entry'!AV7</f>
        <v>Ian Dent</v>
      </c>
      <c r="U7" s="93">
        <f>'Stage  Entry'!AW7</f>
        <v>0.008784722222222223</v>
      </c>
      <c r="V7" s="94">
        <f t="shared" si="6"/>
        <v>0.07498842592592592</v>
      </c>
      <c r="W7" s="92" t="str">
        <f>'Stage  Entry'!R17</f>
        <v>Ian Dent &amp; Craig Harris</v>
      </c>
      <c r="X7" s="93">
        <f>'Stage  Entry'!S17</f>
        <v>0.015844907407407405</v>
      </c>
      <c r="Y7" s="94">
        <f t="shared" si="7"/>
        <v>0.09083333333333332</v>
      </c>
      <c r="Z7" s="92" t="str">
        <f>'Stage  Entry'!W17</f>
        <v>Anthony Lee</v>
      </c>
      <c r="AA7" s="93">
        <f>'Stage  Entry'!X17</f>
        <v>0.009942129629629629</v>
      </c>
      <c r="AB7" s="94">
        <f t="shared" si="8"/>
        <v>0.10077546296296296</v>
      </c>
      <c r="AC7" s="92" t="str">
        <f>'Stage  Entry'!AB17</f>
        <v>Paul Martinico</v>
      </c>
      <c r="AD7" s="93">
        <f>'Stage  Entry'!AC17</f>
        <v>0.009837962962962963</v>
      </c>
      <c r="AE7" s="94">
        <f t="shared" si="9"/>
        <v>0.11061342592592592</v>
      </c>
      <c r="AF7" s="92" t="str">
        <f>'Stage  Entry'!AG17</f>
        <v>Craig Harris</v>
      </c>
      <c r="AG7" s="93">
        <f>'Stage  Entry'!AH17</f>
        <v>0.010729166666666666</v>
      </c>
      <c r="AH7" s="94">
        <f t="shared" si="10"/>
        <v>0.12134259259259259</v>
      </c>
      <c r="AI7" s="92" t="str">
        <f>'Stage  Entry'!AL17</f>
        <v>Paul Martinico</v>
      </c>
      <c r="AJ7" s="93">
        <f>'Stage  Entry'!AM17</f>
        <v>0.010578703703703703</v>
      </c>
      <c r="AK7" s="94">
        <f t="shared" si="11"/>
        <v>0.1319212962962963</v>
      </c>
      <c r="AL7" s="92" t="str">
        <f>'Stage  Entry'!AQ17</f>
        <v>Anthony Lee</v>
      </c>
      <c r="AM7" s="93">
        <f>'Stage  Entry'!AR17</f>
        <v>0.011458333333333334</v>
      </c>
      <c r="AN7" s="94">
        <f t="shared" si="12"/>
        <v>0.14337962962962963</v>
      </c>
      <c r="AO7" s="92" t="str">
        <f>'Stage  Entry'!AV17</f>
        <v>Ian Dent</v>
      </c>
      <c r="AP7" s="93">
        <f>'Stage  Entry'!AW17</f>
        <v>0.009421296296296296</v>
      </c>
      <c r="AQ7" s="94">
        <f t="shared" si="13"/>
        <v>0.15280092592592592</v>
      </c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</row>
    <row r="8" spans="1:59" s="39" customFormat="1" ht="19.5" customHeight="1">
      <c r="A8" s="91" t="str">
        <f>'Team Selection'!B7</f>
        <v>3 Guys, A Girl &amp; a Pub</v>
      </c>
      <c r="B8" s="92" t="str">
        <f>'Stage  Entry'!R8</f>
        <v>Troy Williams &amp; Nic Gilbert</v>
      </c>
      <c r="C8" s="93">
        <f>'Stage  Entry'!S8</f>
        <v>0.014812500000000001</v>
      </c>
      <c r="D8" s="94">
        <f t="shared" si="0"/>
        <v>0.014812500000000001</v>
      </c>
      <c r="E8" s="92" t="str">
        <f>'Stage  Entry'!W8</f>
        <v>Tony Dell</v>
      </c>
      <c r="F8" s="93">
        <f>'Stage  Entry'!X8</f>
        <v>0.009726851851851851</v>
      </c>
      <c r="G8" s="94">
        <f t="shared" si="1"/>
        <v>0.024539351851851854</v>
      </c>
      <c r="H8" s="92" t="str">
        <f>'Stage  Entry'!AB8</f>
        <v>Kirsten Jackson</v>
      </c>
      <c r="I8" s="93">
        <f>'Stage  Entry'!AC8</f>
        <v>0.01119675925925926</v>
      </c>
      <c r="J8" s="94">
        <f t="shared" si="2"/>
        <v>0.035736111111111114</v>
      </c>
      <c r="K8" s="92" t="str">
        <f>'Stage  Entry'!AG8</f>
        <v>Nic Gilbert</v>
      </c>
      <c r="L8" s="93">
        <f>'Stage  Entry'!AH8</f>
        <v>0.009900462962962963</v>
      </c>
      <c r="M8" s="94">
        <f t="shared" si="3"/>
        <v>0.04563657407407408</v>
      </c>
      <c r="N8" s="92" t="str">
        <f>'Stage  Entry'!AL8</f>
        <v>Troy Williams</v>
      </c>
      <c r="O8" s="93">
        <f>'Stage  Entry'!AM8</f>
        <v>0.010375</v>
      </c>
      <c r="P8" s="94">
        <f t="shared" si="4"/>
        <v>0.05601157407407408</v>
      </c>
      <c r="Q8" s="92" t="str">
        <f>'Stage  Entry'!AQ8</f>
        <v>Tony Dell</v>
      </c>
      <c r="R8" s="93">
        <f>'Stage  Entry'!AR8</f>
        <v>0.010108796296296296</v>
      </c>
      <c r="S8" s="94">
        <f t="shared" si="5"/>
        <v>0.06612037037037038</v>
      </c>
      <c r="T8" s="92" t="str">
        <f>'Stage  Entry'!AV8</f>
        <v>Kirsten Jackson</v>
      </c>
      <c r="U8" s="93">
        <f>'Stage  Entry'!AW8</f>
        <v>0.010155092592592592</v>
      </c>
      <c r="V8" s="94">
        <f t="shared" si="6"/>
        <v>0.07627546296296298</v>
      </c>
      <c r="W8" s="92" t="str">
        <f>'Stage  Entry'!R18</f>
        <v>Tony Dell &amp; Kirsten Jackson</v>
      </c>
      <c r="X8" s="93">
        <f>'Stage  Entry'!S18</f>
        <v>0.01670138888888889</v>
      </c>
      <c r="Y8" s="94">
        <f t="shared" si="7"/>
        <v>0.09297685185185187</v>
      </c>
      <c r="Z8" s="92" t="str">
        <f>'Stage  Entry'!W18</f>
        <v>Troy Williams</v>
      </c>
      <c r="AA8" s="93">
        <f>'Stage  Entry'!X18</f>
        <v>0.009710648148148147</v>
      </c>
      <c r="AB8" s="94">
        <f t="shared" si="8"/>
        <v>0.10268750000000001</v>
      </c>
      <c r="AC8" s="92" t="str">
        <f>'Stage  Entry'!AB18</f>
        <v>Nic Gilbert</v>
      </c>
      <c r="AD8" s="93">
        <f>'Stage  Entry'!AC18</f>
        <v>0.01050925925925926</v>
      </c>
      <c r="AE8" s="94">
        <f t="shared" si="9"/>
        <v>0.11319675925925927</v>
      </c>
      <c r="AF8" s="92" t="str">
        <f>'Stage  Entry'!AG18</f>
        <v>Tony Dell</v>
      </c>
      <c r="AG8" s="93">
        <f>'Stage  Entry'!AH18</f>
        <v>0.010185185185185184</v>
      </c>
      <c r="AH8" s="94">
        <f t="shared" si="10"/>
        <v>0.12338194444444446</v>
      </c>
      <c r="AI8" s="92" t="str">
        <f>'Stage  Entry'!AL18</f>
        <v>Nic Gilbert</v>
      </c>
      <c r="AJ8" s="93">
        <f>'Stage  Entry'!AM18</f>
        <v>0.011226851851851854</v>
      </c>
      <c r="AK8" s="94">
        <f t="shared" si="11"/>
        <v>0.13460879629629632</v>
      </c>
      <c r="AL8" s="92" t="str">
        <f>'Stage  Entry'!AQ18</f>
        <v>Troy Williams</v>
      </c>
      <c r="AM8" s="93">
        <f>'Stage  Entry'!AR18</f>
        <v>0.010659722222222221</v>
      </c>
      <c r="AN8" s="94">
        <f t="shared" si="12"/>
        <v>0.14526851851851855</v>
      </c>
      <c r="AO8" s="92" t="str">
        <f>'Stage  Entry'!AV18</f>
        <v>Kirsten Jackson</v>
      </c>
      <c r="AP8" s="93">
        <f>'Stage  Entry'!AW18</f>
        <v>0.01087962962962963</v>
      </c>
      <c r="AQ8" s="94">
        <f t="shared" si="13"/>
        <v>0.15614814814814817</v>
      </c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</row>
    <row r="9" spans="1:59" s="39" customFormat="1" ht="19.5" customHeight="1">
      <c r="A9" s="91" t="str">
        <f>'Team Selection'!B8</f>
        <v>House of Paine</v>
      </c>
      <c r="B9" s="92" t="str">
        <f>'Stage  Entry'!R9</f>
        <v>Stephen Paine &amp; David Venour</v>
      </c>
      <c r="C9" s="93">
        <f>'Stage  Entry'!S9</f>
        <v>0.015034722222222224</v>
      </c>
      <c r="D9" s="94">
        <f t="shared" si="0"/>
        <v>0.015034722222222224</v>
      </c>
      <c r="E9" s="92" t="str">
        <f>'Stage  Entry'!W9</f>
        <v>Thai Phan</v>
      </c>
      <c r="F9" s="93">
        <f>'Stage  Entry'!X9</f>
        <v>0.009814814814814814</v>
      </c>
      <c r="G9" s="94">
        <f t="shared" si="1"/>
        <v>0.024849537037037038</v>
      </c>
      <c r="H9" s="92" t="str">
        <f>'Stage  Entry'!AB9</f>
        <v>Luke Goodman</v>
      </c>
      <c r="I9" s="93">
        <f>'Stage  Entry'!AC9</f>
        <v>0.010474537037037037</v>
      </c>
      <c r="J9" s="94">
        <f t="shared" si="2"/>
        <v>0.03532407407407408</v>
      </c>
      <c r="K9" s="92" t="str">
        <f>'Stage  Entry'!AG9</f>
        <v>David Venour</v>
      </c>
      <c r="L9" s="93">
        <f>'Stage  Entry'!AH9</f>
        <v>0.010277777777777778</v>
      </c>
      <c r="M9" s="94">
        <f t="shared" si="3"/>
        <v>0.04560185185185185</v>
      </c>
      <c r="N9" s="92" t="str">
        <f>'Stage  Entry'!AL9</f>
        <v>Stephen Paine</v>
      </c>
      <c r="O9" s="93">
        <f>'Stage  Entry'!AM9</f>
        <v>0.010613425925925927</v>
      </c>
      <c r="P9" s="94">
        <f t="shared" si="4"/>
        <v>0.05621527777777778</v>
      </c>
      <c r="Q9" s="92" t="str">
        <f>'Stage  Entry'!AQ9</f>
        <v>Thai Phan</v>
      </c>
      <c r="R9" s="93">
        <f>'Stage  Entry'!AR9</f>
        <v>0.010300925925925927</v>
      </c>
      <c r="S9" s="94">
        <f t="shared" si="5"/>
        <v>0.0665162037037037</v>
      </c>
      <c r="T9" s="92" t="str">
        <f>'Stage  Entry'!AV9</f>
        <v>Luke Goodman</v>
      </c>
      <c r="U9" s="93">
        <f>'Stage  Entry'!AW9</f>
        <v>0.009432870370370371</v>
      </c>
      <c r="V9" s="94">
        <f t="shared" si="6"/>
        <v>0.07594907407407407</v>
      </c>
      <c r="W9" s="92" t="str">
        <f>'Stage  Entry'!R19</f>
        <v>Luke Goodman &amp; Thai Phan</v>
      </c>
      <c r="X9" s="93">
        <f>'Stage  Entry'!S19</f>
        <v>0.016608796296296295</v>
      </c>
      <c r="Y9" s="94">
        <f t="shared" si="7"/>
        <v>0.09255787037037036</v>
      </c>
      <c r="Z9" s="92" t="str">
        <f>'Stage  Entry'!W19</f>
        <v>David Venour</v>
      </c>
      <c r="AA9" s="93">
        <f>'Stage  Entry'!X19</f>
        <v>0.010324074074074074</v>
      </c>
      <c r="AB9" s="94">
        <f t="shared" si="8"/>
        <v>0.10288194444444443</v>
      </c>
      <c r="AC9" s="92" t="str">
        <f>'Stage  Entry'!AB19</f>
        <v>Stephen Paine</v>
      </c>
      <c r="AD9" s="93">
        <f>'Stage  Entry'!AC19</f>
        <v>0.01017361111111111</v>
      </c>
      <c r="AE9" s="94">
        <f t="shared" si="9"/>
        <v>0.11305555555555553</v>
      </c>
      <c r="AF9" s="92" t="str">
        <f>'Stage  Entry'!AG19</f>
        <v>Luke Goodman</v>
      </c>
      <c r="AG9" s="93">
        <f>'Stage  Entry'!AH19</f>
        <v>0.010405092592592593</v>
      </c>
      <c r="AH9" s="94">
        <f t="shared" si="10"/>
        <v>0.12346064814814812</v>
      </c>
      <c r="AI9" s="92" t="str">
        <f>'Stage  Entry'!AL19</f>
        <v>David Venour</v>
      </c>
      <c r="AJ9" s="93">
        <f>'Stage  Entry'!AM19</f>
        <v>0.011226851851851854</v>
      </c>
      <c r="AK9" s="94">
        <f t="shared" si="11"/>
        <v>0.1346875</v>
      </c>
      <c r="AL9" s="92" t="str">
        <f>'Stage  Entry'!AQ19</f>
        <v>Stephen Paine</v>
      </c>
      <c r="AM9" s="93">
        <f>'Stage  Entry'!AR19</f>
        <v>0.010775462962962964</v>
      </c>
      <c r="AN9" s="94">
        <f t="shared" si="12"/>
        <v>0.14546296296296296</v>
      </c>
      <c r="AO9" s="92" t="str">
        <f>'Stage  Entry'!AV19</f>
        <v>Thai Phan</v>
      </c>
      <c r="AP9" s="93">
        <f>'Stage  Entry'!AW19</f>
        <v>0.010231481481481482</v>
      </c>
      <c r="AQ9" s="94">
        <f t="shared" si="13"/>
        <v>0.15569444444444444</v>
      </c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</row>
    <row r="10" spans="1:59" s="39" customFormat="1" ht="19.5" customHeight="1">
      <c r="A10" s="91" t="str">
        <f>'Team Selection'!B9</f>
        <v>The Drowned Rats</v>
      </c>
      <c r="B10" s="92" t="str">
        <f>'Stage  Entry'!R10</f>
        <v>Matt Sandilands &amp; Richard Does</v>
      </c>
      <c r="C10" s="93">
        <f>'Stage  Entry'!S10</f>
        <v>0.015266203703703704</v>
      </c>
      <c r="D10" s="94">
        <f t="shared" si="0"/>
        <v>0.015266203703703704</v>
      </c>
      <c r="E10" s="92" t="str">
        <f>'Stage  Entry'!W10</f>
        <v>Gary O'Dwyer</v>
      </c>
      <c r="F10" s="93">
        <f>'Stage  Entry'!X10</f>
        <v>0.009780092592592592</v>
      </c>
      <c r="G10" s="94">
        <f t="shared" si="1"/>
        <v>0.025046296296296296</v>
      </c>
      <c r="H10" s="92" t="str">
        <f>'Stage  Entry'!AB10</f>
        <v>Juanita Liston</v>
      </c>
      <c r="I10" s="93">
        <f>'Stage  Entry'!AC10</f>
        <v>0.01082175925925926</v>
      </c>
      <c r="J10" s="94">
        <f t="shared" si="2"/>
        <v>0.035868055555555556</v>
      </c>
      <c r="K10" s="92" t="str">
        <f>'Stage  Entry'!AG10</f>
        <v>Richard Does</v>
      </c>
      <c r="L10" s="93">
        <f>'Stage  Entry'!AH10</f>
        <v>0.010034722222222221</v>
      </c>
      <c r="M10" s="94">
        <f t="shared" si="3"/>
        <v>0.04590277777777778</v>
      </c>
      <c r="N10" s="92" t="str">
        <f>'Stage  Entry'!AL10</f>
        <v>Matt Sandilands</v>
      </c>
      <c r="O10" s="93">
        <f>'Stage  Entry'!AM10</f>
        <v>0.01175925925925926</v>
      </c>
      <c r="P10" s="94">
        <f t="shared" si="4"/>
        <v>0.05766203703703704</v>
      </c>
      <c r="Q10" s="92" t="str">
        <f>'Stage  Entry'!AQ10</f>
        <v>Gary O'Dwyer</v>
      </c>
      <c r="R10" s="93">
        <f>'Stage  Entry'!AR10</f>
        <v>0.010324074074074074</v>
      </c>
      <c r="S10" s="94">
        <f t="shared" si="5"/>
        <v>0.06798611111111111</v>
      </c>
      <c r="T10" s="92" t="str">
        <f>'Stage  Entry'!AV10</f>
        <v>Juanita Liston</v>
      </c>
      <c r="U10" s="93">
        <f>'Stage  Entry'!AW10</f>
        <v>0.009351851851851853</v>
      </c>
      <c r="V10" s="94">
        <f t="shared" si="6"/>
        <v>0.07733796296296296</v>
      </c>
      <c r="W10" s="92" t="str">
        <f>'Stage  Entry'!R20</f>
        <v>Juanita Liston &amp; Gary O'Dwyer</v>
      </c>
      <c r="X10" s="93">
        <f>'Stage  Entry'!S20</f>
        <v>0.016087962962962964</v>
      </c>
      <c r="Y10" s="94">
        <f t="shared" si="7"/>
        <v>0.09342592592592591</v>
      </c>
      <c r="Z10" s="92" t="str">
        <f>'Stage  Entry'!W20</f>
        <v>Matt Sandilands</v>
      </c>
      <c r="AA10" s="93">
        <f>'Stage  Entry'!X20</f>
        <v>0.011157407407407408</v>
      </c>
      <c r="AB10" s="94">
        <f t="shared" si="8"/>
        <v>0.10458333333333332</v>
      </c>
      <c r="AC10" s="92" t="str">
        <f>'Stage  Entry'!AB20</f>
        <v>Juanita Liston</v>
      </c>
      <c r="AD10" s="93">
        <f>'Stage  Entry'!AC20</f>
        <v>0.012291666666666666</v>
      </c>
      <c r="AE10" s="94">
        <f t="shared" si="9"/>
        <v>0.11687499999999998</v>
      </c>
      <c r="AF10" s="92" t="str">
        <f>'Stage  Entry'!AG20</f>
        <v>Gary O'Dwyer</v>
      </c>
      <c r="AG10" s="93">
        <f>'Stage  Entry'!AH20</f>
        <v>0.009768518518518518</v>
      </c>
      <c r="AH10" s="94">
        <f t="shared" si="10"/>
        <v>0.1266435185185185</v>
      </c>
      <c r="AI10" s="92" t="str">
        <f>'Stage  Entry'!AL20</f>
        <v>Richard Does</v>
      </c>
      <c r="AJ10" s="93">
        <f>'Stage  Entry'!AM20</f>
        <v>0.011215277777777777</v>
      </c>
      <c r="AK10" s="94">
        <f t="shared" si="11"/>
        <v>0.13785879629629627</v>
      </c>
      <c r="AL10" s="92" t="str">
        <f>'Stage  Entry'!AQ20</f>
        <v>Matt Sandilands</v>
      </c>
      <c r="AM10" s="93">
        <f>'Stage  Entry'!AR20</f>
        <v>0.013113425925925926</v>
      </c>
      <c r="AN10" s="94">
        <f t="shared" si="12"/>
        <v>0.1509722222222222</v>
      </c>
      <c r="AO10" s="92" t="str">
        <f>'Stage  Entry'!AV20</f>
        <v>Richard Does</v>
      </c>
      <c r="AP10" s="93">
        <f>'Stage  Entry'!AW20</f>
        <v>0.009039351851851852</v>
      </c>
      <c r="AQ10" s="94">
        <f t="shared" si="13"/>
        <v>0.16001157407407404</v>
      </c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</row>
    <row r="12" spans="2:59" s="110" customFormat="1" ht="12.75">
      <c r="B12" s="111"/>
      <c r="C12" s="112" t="s">
        <v>43</v>
      </c>
      <c r="D12" s="113" t="s">
        <v>42</v>
      </c>
      <c r="E12" s="111"/>
      <c r="F12" s="112" t="s">
        <v>43</v>
      </c>
      <c r="G12" s="113" t="s">
        <v>42</v>
      </c>
      <c r="H12" s="111"/>
      <c r="I12" s="112" t="s">
        <v>43</v>
      </c>
      <c r="J12" s="113" t="s">
        <v>42</v>
      </c>
      <c r="K12" s="111"/>
      <c r="L12" s="112" t="s">
        <v>43</v>
      </c>
      <c r="M12" s="113" t="s">
        <v>42</v>
      </c>
      <c r="N12" s="111"/>
      <c r="O12" s="112" t="s">
        <v>43</v>
      </c>
      <c r="P12" s="113" t="s">
        <v>42</v>
      </c>
      <c r="Q12" s="111"/>
      <c r="R12" s="112" t="s">
        <v>43</v>
      </c>
      <c r="S12" s="113" t="s">
        <v>42</v>
      </c>
      <c r="T12" s="111"/>
      <c r="U12" s="112" t="s">
        <v>43</v>
      </c>
      <c r="V12" s="113" t="s">
        <v>42</v>
      </c>
      <c r="W12" s="111"/>
      <c r="X12" s="112" t="s">
        <v>43</v>
      </c>
      <c r="Y12" s="113" t="s">
        <v>42</v>
      </c>
      <c r="Z12" s="111"/>
      <c r="AA12" s="112" t="s">
        <v>43</v>
      </c>
      <c r="AB12" s="113" t="s">
        <v>42</v>
      </c>
      <c r="AC12" s="111"/>
      <c r="AD12" s="112" t="s">
        <v>43</v>
      </c>
      <c r="AE12" s="113" t="s">
        <v>42</v>
      </c>
      <c r="AF12" s="111"/>
      <c r="AG12" s="112" t="s">
        <v>43</v>
      </c>
      <c r="AH12" s="113" t="s">
        <v>42</v>
      </c>
      <c r="AI12" s="111"/>
      <c r="AJ12" s="112" t="s">
        <v>43</v>
      </c>
      <c r="AK12" s="113" t="s">
        <v>42</v>
      </c>
      <c r="AL12" s="111"/>
      <c r="AM12" s="112" t="s">
        <v>43</v>
      </c>
      <c r="AN12" s="113" t="s">
        <v>42</v>
      </c>
      <c r="AO12" s="111"/>
      <c r="AP12" s="112" t="s">
        <v>43</v>
      </c>
      <c r="AQ12" s="113" t="s">
        <v>42</v>
      </c>
      <c r="AR12" s="116"/>
      <c r="AS12" s="117" t="s">
        <v>0</v>
      </c>
      <c r="AT12" s="118">
        <v>1</v>
      </c>
      <c r="AU12" s="118">
        <v>2</v>
      </c>
      <c r="AV12" s="118">
        <v>3</v>
      </c>
      <c r="AW12" s="118">
        <v>4</v>
      </c>
      <c r="AX12" s="118">
        <v>5</v>
      </c>
      <c r="AY12" s="118">
        <v>6</v>
      </c>
      <c r="AZ12" s="118">
        <v>7</v>
      </c>
      <c r="BA12" s="118">
        <v>8</v>
      </c>
      <c r="BB12" s="118">
        <v>9</v>
      </c>
      <c r="BC12" s="118">
        <v>10</v>
      </c>
      <c r="BD12" s="118">
        <v>11</v>
      </c>
      <c r="BE12" s="118">
        <v>12</v>
      </c>
      <c r="BF12" s="118">
        <v>13</v>
      </c>
      <c r="BG12" s="118">
        <v>14</v>
      </c>
    </row>
    <row r="13" spans="3:59" ht="12.75">
      <c r="C13" s="108">
        <f>RANK(D4,D$4:D$10,1)</f>
        <v>1</v>
      </c>
      <c r="D13" s="109">
        <f>D4-MIN(D$4,D$5,D$6,D$7,D$8,D$9,D$10)</f>
        <v>0</v>
      </c>
      <c r="F13" s="108">
        <f>RANK(G4,G$4:G$10,1)</f>
        <v>5</v>
      </c>
      <c r="G13" s="109">
        <f>G4-MIN(G$4,G$5,G$6,G$7,G$8,G$9,G$10)</f>
        <v>0.0007268518518518535</v>
      </c>
      <c r="I13" s="108">
        <f>RANK(J4,J$4:J$10,1)</f>
        <v>3</v>
      </c>
      <c r="J13" s="109">
        <f>J4-MIN(J$4,J$5,J$6,J$7,J$8,J$9,J$10)</f>
        <v>0.0006481481481481546</v>
      </c>
      <c r="L13" s="108">
        <f>RANK(M4,M$4:M$10,1)</f>
        <v>5</v>
      </c>
      <c r="M13" s="109">
        <f>M4-MIN(M$4,M$5,M$6,M$7,M$8,M$9,M$10)</f>
        <v>0.0010532407407407504</v>
      </c>
      <c r="O13" s="108">
        <f>RANK(P4,P$4:P$10,1)</f>
        <v>2</v>
      </c>
      <c r="P13" s="109">
        <f>P4-MIN(P$4,P$5,P$6,P$7,P$8,P$9,P$10)</f>
        <v>2.314814814815408E-05</v>
      </c>
      <c r="R13" s="108">
        <f>RANK(S4,S$4:S$10,1)</f>
        <v>4</v>
      </c>
      <c r="S13" s="109">
        <f>S4-MIN(S$4,S$5,S$6,S$7,S$8,S$9,S$10)</f>
        <v>0.0005578703703703614</v>
      </c>
      <c r="U13" s="108">
        <f>RANK(V4,V$4:V$10,1)</f>
        <v>2</v>
      </c>
      <c r="V13" s="109">
        <f>V4-MIN(V$4,V$5,V$6,V$7,V$8,V$9,V$10)</f>
        <v>0.0007407407407407501</v>
      </c>
      <c r="X13" s="108">
        <f>RANK(Y4,Y$4:Y$10,1)</f>
        <v>2</v>
      </c>
      <c r="Y13" s="109">
        <f>Y4-MIN(Y$4,Y$5,Y$6,Y$7,Y$8,Y$9,Y$10)</f>
        <v>0.0013773148148148312</v>
      </c>
      <c r="AA13" s="108">
        <f>RANK(AB4,AB$4:AB$10,1)</f>
        <v>2</v>
      </c>
      <c r="AB13" s="109">
        <f>AB4-MIN(AB$4,AB$5,AB$6,AB$7,AB$8,AB$9,AB$10)</f>
        <v>0.000370370370370382</v>
      </c>
      <c r="AD13" s="108">
        <f>RANK(AE4,AE$4:AE$10,1)</f>
        <v>2</v>
      </c>
      <c r="AE13" s="109">
        <f>AE4-MIN(AE$4,AE$5,AE$6,AE$7,AE$8,AE$9,AE$10)</f>
        <v>0.0014699074074074198</v>
      </c>
      <c r="AG13" s="108">
        <f>RANK(AH4,AH$4:AH$10,1)</f>
        <v>2</v>
      </c>
      <c r="AH13" s="109">
        <f>AH4-MIN(AH$4,AH$5,AH$6,AH$7,AH$8,AH$9,AH$10)</f>
        <v>0.001331018518518537</v>
      </c>
      <c r="AJ13" s="108">
        <f>RANK(AK4,AK$4:AK$10,1)</f>
        <v>2</v>
      </c>
      <c r="AK13" s="109">
        <f>AK4-MIN(AK$4,AK$5,AK$6,AK$7,AK$8,AK$9,AK$10)</f>
        <v>0.002256944444444464</v>
      </c>
      <c r="AM13" s="108">
        <f>RANK(AN4,AN$4:AN$10,1)</f>
        <v>2</v>
      </c>
      <c r="AN13" s="109">
        <f>AN4-MIN(AN$4,AN$5,AN$6,AN$7,AN$8,AN$9,AN$10)</f>
        <v>0.0010995370370370516</v>
      </c>
      <c r="AP13" s="108">
        <f>RANK(AQ4,AQ$4:AQ$10,1)</f>
        <v>2</v>
      </c>
      <c r="AQ13" s="109">
        <f>AQ4-MIN(AQ$4,AQ$5,AQ$6,AQ$7,AQ$8,AQ$9,AQ$10)</f>
        <v>0.0013194444444444564</v>
      </c>
      <c r="AR13" s="119"/>
      <c r="AS13" s="120" t="str">
        <f aca="true" t="shared" si="14" ref="AS13:AS19">A4</f>
        <v>The Asthmatics + Dan</v>
      </c>
      <c r="AT13" s="121">
        <f aca="true" t="shared" si="15" ref="AT13:AT19">D13</f>
        <v>0</v>
      </c>
      <c r="AU13" s="121">
        <f aca="true" t="shared" si="16" ref="AU13:AU19">G13</f>
        <v>0.0007268518518518535</v>
      </c>
      <c r="AV13" s="121">
        <f aca="true" t="shared" si="17" ref="AV13:AV19">J13</f>
        <v>0.0006481481481481546</v>
      </c>
      <c r="AW13" s="121">
        <f aca="true" t="shared" si="18" ref="AW13:AW19">M13</f>
        <v>0.0010532407407407504</v>
      </c>
      <c r="AX13" s="121">
        <f aca="true" t="shared" si="19" ref="AX13:AX19">P13</f>
        <v>2.314814814815408E-05</v>
      </c>
      <c r="AY13" s="121">
        <f aca="true" t="shared" si="20" ref="AY13:AY19">S13</f>
        <v>0.0005578703703703614</v>
      </c>
      <c r="AZ13" s="121">
        <f aca="true" t="shared" si="21" ref="AZ13:AZ19">V13</f>
        <v>0.0007407407407407501</v>
      </c>
      <c r="BA13" s="121">
        <f aca="true" t="shared" si="22" ref="BA13:BA19">Y13</f>
        <v>0.0013773148148148312</v>
      </c>
      <c r="BB13" s="121">
        <f aca="true" t="shared" si="23" ref="BB13:BB19">AB13</f>
        <v>0.000370370370370382</v>
      </c>
      <c r="BC13" s="121">
        <f aca="true" t="shared" si="24" ref="BC13:BC19">AE13</f>
        <v>0.0014699074074074198</v>
      </c>
      <c r="BD13" s="121">
        <f aca="true" t="shared" si="25" ref="BD13:BD19">AH13</f>
        <v>0.001331018518518537</v>
      </c>
      <c r="BE13" s="121">
        <f aca="true" t="shared" si="26" ref="BE13:BE19">AK13</f>
        <v>0.002256944444444464</v>
      </c>
      <c r="BF13" s="121">
        <f aca="true" t="shared" si="27" ref="BF13:BF19">AN13</f>
        <v>0.0010995370370370516</v>
      </c>
      <c r="BG13" s="121">
        <f aca="true" t="shared" si="28" ref="BG13:BG19">AQ13</f>
        <v>0.0013194444444444564</v>
      </c>
    </row>
    <row r="14" spans="3:59" ht="12.75">
      <c r="C14" s="108">
        <f aca="true" t="shared" si="29" ref="C14:C19">RANK(D5,D$4:D$10,1)</f>
        <v>7</v>
      </c>
      <c r="D14" s="109">
        <f aca="true" t="shared" si="30" ref="D14:D19">D5-MIN(D$4,D$5,D$6,D$7,D$8,D$9,D$10)</f>
        <v>0.0007175925925925909</v>
      </c>
      <c r="F14" s="108">
        <f aca="true" t="shared" si="31" ref="F14:F19">RANK(G5,G$4:G$10,1)</f>
        <v>6</v>
      </c>
      <c r="G14" s="109">
        <f aca="true" t="shared" si="32" ref="G14:G19">G5-MIN(G$4,G$5,G$6,G$7,G$8,G$9,G$10)</f>
        <v>0.001756944444444443</v>
      </c>
      <c r="I14" s="108">
        <f aca="true" t="shared" si="33" ref="I14:I19">RANK(J5,J$4:J$10,1)</f>
        <v>6</v>
      </c>
      <c r="J14" s="109">
        <f aca="true" t="shared" si="34" ref="J14:J19">J5-MIN(J$4,J$5,J$6,J$7,J$8,J$9,J$10)</f>
        <v>0.001516203703703707</v>
      </c>
      <c r="L14" s="108">
        <f aca="true" t="shared" si="35" ref="L14:L19">RANK(M5,M$4:M$10,1)</f>
        <v>6</v>
      </c>
      <c r="M14" s="109">
        <f aca="true" t="shared" si="36" ref="M14:M19">M5-MIN(M$4,M$5,M$6,M$7,M$8,M$9,M$10)</f>
        <v>0.001782407407407413</v>
      </c>
      <c r="O14" s="108">
        <f aca="true" t="shared" si="37" ref="O14:O19">RANK(P5,P$4:P$10,1)</f>
        <v>5</v>
      </c>
      <c r="P14" s="109">
        <f aca="true" t="shared" si="38" ref="P14:P19">P5-MIN(P$4,P$5,P$6,P$7,P$8,P$9,P$10)</f>
        <v>0.0017129629629629647</v>
      </c>
      <c r="R14" s="108">
        <f aca="true" t="shared" si="39" ref="R14:R19">RANK(S5,S$4:S$10,1)</f>
        <v>6</v>
      </c>
      <c r="S14" s="109">
        <f aca="true" t="shared" si="40" ref="S14:S19">S5-MIN(S$4,S$5,S$6,S$7,S$8,S$9,S$10)</f>
        <v>0.003127314814814805</v>
      </c>
      <c r="U14" s="108">
        <f aca="true" t="shared" si="41" ref="U14:U19">RANK(V5,V$4:V$10,1)</f>
        <v>6</v>
      </c>
      <c r="V14" s="109">
        <f aca="true" t="shared" si="42" ref="V14:V19">V5-MIN(V$4,V$5,V$6,V$7,V$8,V$9,V$10)</f>
        <v>0.0031597222222222304</v>
      </c>
      <c r="X14" s="108">
        <f aca="true" t="shared" si="43" ref="X14:X19">RANK(Y5,Y$4:Y$10,1)</f>
        <v>6</v>
      </c>
      <c r="Y14" s="109">
        <f aca="true" t="shared" si="44" ref="Y14:Y19">Y5-MIN(Y$4,Y$5,Y$6,Y$7,Y$8,Y$9,Y$10)</f>
        <v>0.004212962962962974</v>
      </c>
      <c r="AA14" s="108">
        <f aca="true" t="shared" si="45" ref="AA14:AA19">RANK(AB5,AB$4:AB$10,1)</f>
        <v>6</v>
      </c>
      <c r="AB14" s="109">
        <f aca="true" t="shared" si="46" ref="AB14:AB19">AB5-MIN(AB$4,AB$5,AB$6,AB$7,AB$8,AB$9,AB$10)</f>
        <v>0.00495370370370371</v>
      </c>
      <c r="AD14" s="108">
        <f aca="true" t="shared" si="47" ref="AD14:AD19">RANK(AE5,AE$4:AE$10,1)</f>
        <v>5</v>
      </c>
      <c r="AE14" s="109">
        <f aca="true" t="shared" si="48" ref="AE14:AE19">AE5-MIN(AE$4,AE$5,AE$6,AE$7,AE$8,AE$9,AE$10)</f>
        <v>0.005775462962962968</v>
      </c>
      <c r="AG14" s="108">
        <f aca="true" t="shared" si="49" ref="AG14:AG19">RANK(AH5,AH$4:AH$10,1)</f>
        <v>5</v>
      </c>
      <c r="AH14" s="109">
        <f aca="true" t="shared" si="50" ref="AH14:AH19">AH5-MIN(AH$4,AH$5,AH$6,AH$7,AH$8,AH$9,AH$10)</f>
        <v>0.0042245370370370405</v>
      </c>
      <c r="AJ14" s="108">
        <f aca="true" t="shared" si="51" ref="AJ14:AJ19">RANK(AK5,AK$4:AK$10,1)</f>
        <v>5</v>
      </c>
      <c r="AK14" s="109">
        <f aca="true" t="shared" si="52" ref="AK14:AK19">AK5-MIN(AK$4,AK$5,AK$6,AK$7,AK$8,AK$9,AK$10)</f>
        <v>0.00539351851851852</v>
      </c>
      <c r="AM14" s="108">
        <f aca="true" t="shared" si="53" ref="AM14:AM19">RANK(AN5,AN$4:AN$10,1)</f>
        <v>5</v>
      </c>
      <c r="AN14" s="109">
        <f aca="true" t="shared" si="54" ref="AN14:AN19">AN5-MIN(AN$4,AN$5,AN$6,AN$7,AN$8,AN$9,AN$10)</f>
        <v>0.005046296296296271</v>
      </c>
      <c r="AP14" s="108">
        <f aca="true" t="shared" si="55" ref="AP14:AP19">RANK(AQ5,AQ$4:AQ$10,1)</f>
        <v>6</v>
      </c>
      <c r="AQ14" s="109">
        <f aca="true" t="shared" si="56" ref="AQ14:AQ19">AQ5-MIN(AQ$4,AQ$5,AQ$6,AQ$7,AQ$8,AQ$9,AQ$10)</f>
        <v>0.007650462962962956</v>
      </c>
      <c r="AR14" s="119"/>
      <c r="AS14" s="120" t="str">
        <f t="shared" si="14"/>
        <v>The Also-Rans</v>
      </c>
      <c r="AT14" s="121">
        <f t="shared" si="15"/>
        <v>0.0007175925925925909</v>
      </c>
      <c r="AU14" s="121">
        <f t="shared" si="16"/>
        <v>0.001756944444444443</v>
      </c>
      <c r="AV14" s="121">
        <f t="shared" si="17"/>
        <v>0.001516203703703707</v>
      </c>
      <c r="AW14" s="121">
        <f t="shared" si="18"/>
        <v>0.001782407407407413</v>
      </c>
      <c r="AX14" s="121">
        <f t="shared" si="19"/>
        <v>0.0017129629629629647</v>
      </c>
      <c r="AY14" s="121">
        <f t="shared" si="20"/>
        <v>0.003127314814814805</v>
      </c>
      <c r="AZ14" s="121">
        <f t="shared" si="21"/>
        <v>0.0031597222222222304</v>
      </c>
      <c r="BA14" s="121">
        <f t="shared" si="22"/>
        <v>0.004212962962962974</v>
      </c>
      <c r="BB14" s="121">
        <f t="shared" si="23"/>
        <v>0.00495370370370371</v>
      </c>
      <c r="BC14" s="121">
        <f t="shared" si="24"/>
        <v>0.005775462962962968</v>
      </c>
      <c r="BD14" s="121">
        <f t="shared" si="25"/>
        <v>0.0042245370370370405</v>
      </c>
      <c r="BE14" s="121">
        <f t="shared" si="26"/>
        <v>0.00539351851851852</v>
      </c>
      <c r="BF14" s="121">
        <f t="shared" si="27"/>
        <v>0.005046296296296271</v>
      </c>
      <c r="BG14" s="121">
        <f t="shared" si="28"/>
        <v>0.007650462962962956</v>
      </c>
    </row>
    <row r="15" spans="3:59" ht="12.75">
      <c r="C15" s="108">
        <f t="shared" si="29"/>
        <v>5</v>
      </c>
      <c r="D15" s="109">
        <f t="shared" si="30"/>
        <v>0.0004513888888888883</v>
      </c>
      <c r="F15" s="108">
        <f t="shared" si="31"/>
        <v>7</v>
      </c>
      <c r="G15" s="109">
        <f t="shared" si="32"/>
        <v>0.002138888888888888</v>
      </c>
      <c r="I15" s="108">
        <f t="shared" si="33"/>
        <v>7</v>
      </c>
      <c r="J15" s="109">
        <f t="shared" si="34"/>
        <v>0.002395833333333333</v>
      </c>
      <c r="L15" s="108">
        <f t="shared" si="35"/>
        <v>7</v>
      </c>
      <c r="M15" s="109">
        <f t="shared" si="36"/>
        <v>0.002291666666666664</v>
      </c>
      <c r="O15" s="108">
        <f t="shared" si="37"/>
        <v>7</v>
      </c>
      <c r="P15" s="109">
        <f t="shared" si="38"/>
        <v>0.0021759259259259214</v>
      </c>
      <c r="R15" s="108">
        <f t="shared" si="39"/>
        <v>7</v>
      </c>
      <c r="S15" s="109">
        <f t="shared" si="40"/>
        <v>0.003902777777777755</v>
      </c>
      <c r="U15" s="108">
        <f t="shared" si="41"/>
        <v>7</v>
      </c>
      <c r="V15" s="109">
        <f t="shared" si="42"/>
        <v>0.004479166666666673</v>
      </c>
      <c r="X15" s="108">
        <f t="shared" si="43"/>
        <v>7</v>
      </c>
      <c r="Y15" s="109">
        <f t="shared" si="44"/>
        <v>0.006238425925925939</v>
      </c>
      <c r="AA15" s="108">
        <f t="shared" si="45"/>
        <v>7</v>
      </c>
      <c r="AB15" s="109">
        <f t="shared" si="46"/>
        <v>0.006319444444444447</v>
      </c>
      <c r="AD15" s="108">
        <f t="shared" si="47"/>
        <v>7</v>
      </c>
      <c r="AE15" s="109">
        <f t="shared" si="48"/>
        <v>0.006666666666666668</v>
      </c>
      <c r="AG15" s="108">
        <f t="shared" si="49"/>
        <v>7</v>
      </c>
      <c r="AH15" s="109">
        <f t="shared" si="50"/>
        <v>0.007777777777777772</v>
      </c>
      <c r="AJ15" s="108">
        <f t="shared" si="51"/>
        <v>7</v>
      </c>
      <c r="AK15" s="109">
        <f t="shared" si="52"/>
        <v>0.008356481481481493</v>
      </c>
      <c r="AM15" s="108">
        <f t="shared" si="53"/>
        <v>7</v>
      </c>
      <c r="AN15" s="109">
        <f t="shared" si="54"/>
        <v>0.008171296296296288</v>
      </c>
      <c r="AP15" s="108">
        <f t="shared" si="55"/>
        <v>7</v>
      </c>
      <c r="AQ15" s="109">
        <f t="shared" si="56"/>
        <v>0.00827546296296297</v>
      </c>
      <c r="AR15" s="119"/>
      <c r="AS15" s="120" t="str">
        <f t="shared" si="14"/>
        <v>Coleman's Comrades</v>
      </c>
      <c r="AT15" s="121">
        <f t="shared" si="15"/>
        <v>0.0004513888888888883</v>
      </c>
      <c r="AU15" s="121">
        <f t="shared" si="16"/>
        <v>0.002138888888888888</v>
      </c>
      <c r="AV15" s="121">
        <f t="shared" si="17"/>
        <v>0.002395833333333333</v>
      </c>
      <c r="AW15" s="121">
        <f t="shared" si="18"/>
        <v>0.002291666666666664</v>
      </c>
      <c r="AX15" s="121">
        <f t="shared" si="19"/>
        <v>0.0021759259259259214</v>
      </c>
      <c r="AY15" s="121">
        <f t="shared" si="20"/>
        <v>0.003902777777777755</v>
      </c>
      <c r="AZ15" s="121">
        <f t="shared" si="21"/>
        <v>0.004479166666666673</v>
      </c>
      <c r="BA15" s="121">
        <f t="shared" si="22"/>
        <v>0.006238425925925939</v>
      </c>
      <c r="BB15" s="121">
        <f t="shared" si="23"/>
        <v>0.006319444444444447</v>
      </c>
      <c r="BC15" s="121">
        <f t="shared" si="24"/>
        <v>0.006666666666666668</v>
      </c>
      <c r="BD15" s="121">
        <f t="shared" si="25"/>
        <v>0.007777777777777772</v>
      </c>
      <c r="BE15" s="121">
        <f t="shared" si="26"/>
        <v>0.008356481481481493</v>
      </c>
      <c r="BF15" s="121">
        <f t="shared" si="27"/>
        <v>0.008171296296296288</v>
      </c>
      <c r="BG15" s="121">
        <f t="shared" si="28"/>
        <v>0.00827546296296297</v>
      </c>
    </row>
    <row r="16" spans="3:59" ht="12.75">
      <c r="C16" s="108">
        <f t="shared" si="29"/>
        <v>3</v>
      </c>
      <c r="D16" s="109">
        <f t="shared" si="30"/>
        <v>0.00013888888888888805</v>
      </c>
      <c r="F16" s="108">
        <f t="shared" si="31"/>
        <v>3</v>
      </c>
      <c r="G16" s="109">
        <f t="shared" si="32"/>
        <v>0.00035648148148147846</v>
      </c>
      <c r="I16" s="108">
        <f t="shared" si="33"/>
        <v>1</v>
      </c>
      <c r="J16" s="109">
        <f t="shared" si="34"/>
        <v>0</v>
      </c>
      <c r="L16" s="108">
        <f t="shared" si="35"/>
        <v>1</v>
      </c>
      <c r="M16" s="109">
        <f t="shared" si="36"/>
        <v>0</v>
      </c>
      <c r="O16" s="108">
        <f t="shared" si="37"/>
        <v>1</v>
      </c>
      <c r="P16" s="109">
        <f t="shared" si="38"/>
        <v>0</v>
      </c>
      <c r="R16" s="108">
        <f t="shared" si="39"/>
        <v>2</v>
      </c>
      <c r="S16" s="109">
        <f t="shared" si="40"/>
        <v>8.333333333331028E-05</v>
      </c>
      <c r="U16" s="108">
        <f t="shared" si="41"/>
        <v>1</v>
      </c>
      <c r="V16" s="109">
        <f t="shared" si="42"/>
        <v>0</v>
      </c>
      <c r="X16" s="108">
        <f t="shared" si="43"/>
        <v>1</v>
      </c>
      <c r="Y16" s="109">
        <f t="shared" si="44"/>
        <v>0</v>
      </c>
      <c r="AA16" s="108">
        <f t="shared" si="45"/>
        <v>1</v>
      </c>
      <c r="AB16" s="109">
        <f t="shared" si="46"/>
        <v>0</v>
      </c>
      <c r="AD16" s="108">
        <f t="shared" si="47"/>
        <v>1</v>
      </c>
      <c r="AE16" s="109">
        <f t="shared" si="48"/>
        <v>0</v>
      </c>
      <c r="AG16" s="108">
        <f t="shared" si="49"/>
        <v>1</v>
      </c>
      <c r="AH16" s="109">
        <f t="shared" si="50"/>
        <v>0</v>
      </c>
      <c r="AJ16" s="108">
        <f t="shared" si="51"/>
        <v>1</v>
      </c>
      <c r="AK16" s="109">
        <f t="shared" si="52"/>
        <v>0</v>
      </c>
      <c r="AM16" s="108">
        <f t="shared" si="53"/>
        <v>1</v>
      </c>
      <c r="AN16" s="109">
        <f t="shared" si="54"/>
        <v>0</v>
      </c>
      <c r="AP16" s="108">
        <f t="shared" si="55"/>
        <v>1</v>
      </c>
      <c r="AQ16" s="109">
        <f t="shared" si="56"/>
        <v>0</v>
      </c>
      <c r="AR16" s="119"/>
      <c r="AS16" s="120" t="str">
        <f t="shared" si="14"/>
        <v>Team Lost</v>
      </c>
      <c r="AT16" s="121">
        <f t="shared" si="15"/>
        <v>0.00013888888888888805</v>
      </c>
      <c r="AU16" s="121">
        <f t="shared" si="16"/>
        <v>0.00035648148148147846</v>
      </c>
      <c r="AV16" s="121">
        <f t="shared" si="17"/>
        <v>0</v>
      </c>
      <c r="AW16" s="121">
        <f t="shared" si="18"/>
        <v>0</v>
      </c>
      <c r="AX16" s="121">
        <f t="shared" si="19"/>
        <v>0</v>
      </c>
      <c r="AY16" s="121">
        <f t="shared" si="20"/>
        <v>8.333333333331028E-05</v>
      </c>
      <c r="AZ16" s="121">
        <f t="shared" si="21"/>
        <v>0</v>
      </c>
      <c r="BA16" s="121">
        <f t="shared" si="22"/>
        <v>0</v>
      </c>
      <c r="BB16" s="121">
        <f t="shared" si="23"/>
        <v>0</v>
      </c>
      <c r="BC16" s="121">
        <f t="shared" si="24"/>
        <v>0</v>
      </c>
      <c r="BD16" s="121">
        <f t="shared" si="25"/>
        <v>0</v>
      </c>
      <c r="BE16" s="121">
        <f t="shared" si="26"/>
        <v>0</v>
      </c>
      <c r="BF16" s="121">
        <f t="shared" si="27"/>
        <v>0</v>
      </c>
      <c r="BG16" s="121">
        <f t="shared" si="28"/>
        <v>0</v>
      </c>
    </row>
    <row r="17" spans="3:59" ht="12.75">
      <c r="C17" s="108">
        <f t="shared" si="29"/>
        <v>2</v>
      </c>
      <c r="D17" s="109">
        <f t="shared" si="30"/>
        <v>4.398148148148165E-05</v>
      </c>
      <c r="F17" s="108">
        <f t="shared" si="31"/>
        <v>1</v>
      </c>
      <c r="G17" s="109">
        <f t="shared" si="32"/>
        <v>0</v>
      </c>
      <c r="I17" s="108">
        <f t="shared" si="33"/>
        <v>4</v>
      </c>
      <c r="J17" s="109">
        <f t="shared" si="34"/>
        <v>0.0008981481481481549</v>
      </c>
      <c r="L17" s="108">
        <f t="shared" si="35"/>
        <v>3</v>
      </c>
      <c r="M17" s="109">
        <f t="shared" si="36"/>
        <v>0.0005671296296296396</v>
      </c>
      <c r="O17" s="108">
        <f t="shared" si="37"/>
        <v>3</v>
      </c>
      <c r="P17" s="109">
        <f t="shared" si="38"/>
        <v>0.00014351851851852893</v>
      </c>
      <c r="R17" s="108">
        <f t="shared" si="39"/>
        <v>1</v>
      </c>
      <c r="S17" s="109">
        <f t="shared" si="40"/>
        <v>0</v>
      </c>
      <c r="U17" s="108">
        <f t="shared" si="41"/>
        <v>4</v>
      </c>
      <c r="V17" s="109">
        <f t="shared" si="42"/>
        <v>0.0012870370370370587</v>
      </c>
      <c r="X17" s="108">
        <f t="shared" si="43"/>
        <v>4</v>
      </c>
      <c r="Y17" s="109">
        <f t="shared" si="44"/>
        <v>0.0021435185185185446</v>
      </c>
      <c r="AA17" s="108">
        <f t="shared" si="45"/>
        <v>3</v>
      </c>
      <c r="AB17" s="109">
        <f t="shared" si="46"/>
        <v>0.0019120370370370593</v>
      </c>
      <c r="AD17" s="108">
        <f t="shared" si="47"/>
        <v>4</v>
      </c>
      <c r="AE17" s="109">
        <f t="shared" si="48"/>
        <v>0.002583333333333354</v>
      </c>
      <c r="AG17" s="108">
        <f t="shared" si="49"/>
        <v>3</v>
      </c>
      <c r="AH17" s="109">
        <f t="shared" si="50"/>
        <v>0.0020393518518518755</v>
      </c>
      <c r="AJ17" s="108">
        <f t="shared" si="51"/>
        <v>3</v>
      </c>
      <c r="AK17" s="109">
        <f t="shared" si="52"/>
        <v>0.002687500000000037</v>
      </c>
      <c r="AM17" s="108">
        <f t="shared" si="53"/>
        <v>3</v>
      </c>
      <c r="AN17" s="109">
        <f t="shared" si="54"/>
        <v>0.0018888888888889122</v>
      </c>
      <c r="AP17" s="108">
        <f t="shared" si="55"/>
        <v>4</v>
      </c>
      <c r="AQ17" s="109">
        <f t="shared" si="56"/>
        <v>0.0033472222222222514</v>
      </c>
      <c r="AR17" s="119"/>
      <c r="AS17" s="120" t="str">
        <f t="shared" si="14"/>
        <v>3 Guys, A Girl &amp; a Pub</v>
      </c>
      <c r="AT17" s="121">
        <f t="shared" si="15"/>
        <v>4.398148148148165E-05</v>
      </c>
      <c r="AU17" s="121">
        <f t="shared" si="16"/>
        <v>0</v>
      </c>
      <c r="AV17" s="121">
        <f t="shared" si="17"/>
        <v>0.0008981481481481549</v>
      </c>
      <c r="AW17" s="121">
        <f t="shared" si="18"/>
        <v>0.0005671296296296396</v>
      </c>
      <c r="AX17" s="121">
        <f t="shared" si="19"/>
        <v>0.00014351851851852893</v>
      </c>
      <c r="AY17" s="121">
        <f t="shared" si="20"/>
        <v>0</v>
      </c>
      <c r="AZ17" s="121">
        <f t="shared" si="21"/>
        <v>0.0012870370370370587</v>
      </c>
      <c r="BA17" s="121">
        <f t="shared" si="22"/>
        <v>0.0021435185185185446</v>
      </c>
      <c r="BB17" s="121">
        <f t="shared" si="23"/>
        <v>0.0019120370370370593</v>
      </c>
      <c r="BC17" s="121">
        <f t="shared" si="24"/>
        <v>0.002583333333333354</v>
      </c>
      <c r="BD17" s="121">
        <f t="shared" si="25"/>
        <v>0.0020393518518518755</v>
      </c>
      <c r="BE17" s="121">
        <f t="shared" si="26"/>
        <v>0.002687500000000037</v>
      </c>
      <c r="BF17" s="121">
        <f t="shared" si="27"/>
        <v>0.0018888888888889122</v>
      </c>
      <c r="BG17" s="121">
        <f t="shared" si="28"/>
        <v>0.0033472222222222514</v>
      </c>
    </row>
    <row r="18" spans="3:59" ht="12.75">
      <c r="C18" s="108">
        <f t="shared" si="29"/>
        <v>4</v>
      </c>
      <c r="D18" s="109">
        <f t="shared" si="30"/>
        <v>0.00026620370370370426</v>
      </c>
      <c r="F18" s="108">
        <f t="shared" si="31"/>
        <v>2</v>
      </c>
      <c r="G18" s="109">
        <f t="shared" si="32"/>
        <v>0.0003101851851851842</v>
      </c>
      <c r="I18" s="108">
        <f t="shared" si="33"/>
        <v>2</v>
      </c>
      <c r="J18" s="109">
        <f t="shared" si="34"/>
        <v>0.0004861111111111177</v>
      </c>
      <c r="L18" s="108">
        <f t="shared" si="35"/>
        <v>2</v>
      </c>
      <c r="M18" s="109">
        <f t="shared" si="36"/>
        <v>0.000532407407407412</v>
      </c>
      <c r="O18" s="108">
        <f t="shared" si="37"/>
        <v>4</v>
      </c>
      <c r="P18" s="109">
        <f t="shared" si="38"/>
        <v>0.00034722222222222793</v>
      </c>
      <c r="R18" s="108">
        <f t="shared" si="39"/>
        <v>3</v>
      </c>
      <c r="S18" s="109">
        <f t="shared" si="40"/>
        <v>0.0003958333333333175</v>
      </c>
      <c r="U18" s="108">
        <f t="shared" si="41"/>
        <v>3</v>
      </c>
      <c r="V18" s="109">
        <f t="shared" si="42"/>
        <v>0.0009606481481481549</v>
      </c>
      <c r="X18" s="108">
        <f t="shared" si="43"/>
        <v>3</v>
      </c>
      <c r="Y18" s="109">
        <f t="shared" si="44"/>
        <v>0.0017245370370370383</v>
      </c>
      <c r="AA18" s="108">
        <f t="shared" si="45"/>
        <v>4</v>
      </c>
      <c r="AB18" s="109">
        <f t="shared" si="46"/>
        <v>0.002106481481481473</v>
      </c>
      <c r="AD18" s="108">
        <f t="shared" si="47"/>
        <v>3</v>
      </c>
      <c r="AE18" s="109">
        <f t="shared" si="48"/>
        <v>0.0024421296296296136</v>
      </c>
      <c r="AG18" s="108">
        <f t="shared" si="49"/>
        <v>4</v>
      </c>
      <c r="AH18" s="109">
        <f t="shared" si="50"/>
        <v>0.0021180555555555397</v>
      </c>
      <c r="AJ18" s="108">
        <f t="shared" si="51"/>
        <v>4</v>
      </c>
      <c r="AK18" s="109">
        <f t="shared" si="52"/>
        <v>0.0027662037037037013</v>
      </c>
      <c r="AM18" s="108">
        <f t="shared" si="53"/>
        <v>4</v>
      </c>
      <c r="AN18" s="109">
        <f t="shared" si="54"/>
        <v>0.002083333333333326</v>
      </c>
      <c r="AP18" s="108">
        <f t="shared" si="55"/>
        <v>3</v>
      </c>
      <c r="AQ18" s="109">
        <f t="shared" si="56"/>
        <v>0.0028935185185185175</v>
      </c>
      <c r="AS18" s="120" t="str">
        <f t="shared" si="14"/>
        <v>House of Paine</v>
      </c>
      <c r="AT18" s="121">
        <f t="shared" si="15"/>
        <v>0.00026620370370370426</v>
      </c>
      <c r="AU18" s="121">
        <f t="shared" si="16"/>
        <v>0.0003101851851851842</v>
      </c>
      <c r="AV18" s="121">
        <f t="shared" si="17"/>
        <v>0.0004861111111111177</v>
      </c>
      <c r="AW18" s="121">
        <f t="shared" si="18"/>
        <v>0.000532407407407412</v>
      </c>
      <c r="AX18" s="121">
        <f t="shared" si="19"/>
        <v>0.00034722222222222793</v>
      </c>
      <c r="AY18" s="121">
        <f t="shared" si="20"/>
        <v>0.0003958333333333175</v>
      </c>
      <c r="AZ18" s="121">
        <f t="shared" si="21"/>
        <v>0.0009606481481481549</v>
      </c>
      <c r="BA18" s="121">
        <f t="shared" si="22"/>
        <v>0.0017245370370370383</v>
      </c>
      <c r="BB18" s="121">
        <f t="shared" si="23"/>
        <v>0.002106481481481473</v>
      </c>
      <c r="BC18" s="121">
        <f t="shared" si="24"/>
        <v>0.0024421296296296136</v>
      </c>
      <c r="BD18" s="121">
        <f t="shared" si="25"/>
        <v>0.0021180555555555397</v>
      </c>
      <c r="BE18" s="121">
        <f t="shared" si="26"/>
        <v>0.0027662037037037013</v>
      </c>
      <c r="BF18" s="121">
        <f t="shared" si="27"/>
        <v>0.002083333333333326</v>
      </c>
      <c r="BG18" s="121">
        <f t="shared" si="28"/>
        <v>0.0028935185185185175</v>
      </c>
    </row>
    <row r="19" spans="3:59" ht="12.75">
      <c r="C19" s="106">
        <f t="shared" si="29"/>
        <v>6</v>
      </c>
      <c r="D19" s="107">
        <f t="shared" si="30"/>
        <v>0.0004976851851851843</v>
      </c>
      <c r="F19" s="106">
        <f t="shared" si="31"/>
        <v>4</v>
      </c>
      <c r="G19" s="107">
        <f t="shared" si="32"/>
        <v>0.0005069444444444418</v>
      </c>
      <c r="I19" s="106">
        <f t="shared" si="33"/>
        <v>5</v>
      </c>
      <c r="J19" s="107">
        <f t="shared" si="34"/>
        <v>0.0010300925925925963</v>
      </c>
      <c r="L19" s="106">
        <f t="shared" si="35"/>
        <v>4</v>
      </c>
      <c r="M19" s="107">
        <f t="shared" si="36"/>
        <v>0.0008333333333333387</v>
      </c>
      <c r="O19" s="106">
        <f t="shared" si="37"/>
        <v>6</v>
      </c>
      <c r="P19" s="107">
        <f t="shared" si="38"/>
        <v>0.0017939814814814867</v>
      </c>
      <c r="R19" s="106">
        <f t="shared" si="39"/>
        <v>5</v>
      </c>
      <c r="S19" s="107">
        <f t="shared" si="40"/>
        <v>0.0018657407407407234</v>
      </c>
      <c r="U19" s="106">
        <f t="shared" si="41"/>
        <v>5</v>
      </c>
      <c r="V19" s="107">
        <f t="shared" si="42"/>
        <v>0.002349537037037039</v>
      </c>
      <c r="X19" s="106">
        <f t="shared" si="43"/>
        <v>5</v>
      </c>
      <c r="Y19" s="107">
        <f t="shared" si="44"/>
        <v>0.002592592592592591</v>
      </c>
      <c r="AA19" s="106">
        <f t="shared" si="45"/>
        <v>5</v>
      </c>
      <c r="AB19" s="107">
        <f t="shared" si="46"/>
        <v>0.0038078703703703642</v>
      </c>
      <c r="AD19" s="106">
        <f t="shared" si="47"/>
        <v>6</v>
      </c>
      <c r="AE19" s="107">
        <f t="shared" si="48"/>
        <v>0.006261574074074058</v>
      </c>
      <c r="AG19" s="106">
        <f t="shared" si="49"/>
        <v>6</v>
      </c>
      <c r="AH19" s="107">
        <f t="shared" si="50"/>
        <v>0.005300925925925903</v>
      </c>
      <c r="AJ19" s="106">
        <f t="shared" si="51"/>
        <v>6</v>
      </c>
      <c r="AK19" s="107">
        <f t="shared" si="52"/>
        <v>0.0059374999999999845</v>
      </c>
      <c r="AM19" s="106">
        <f t="shared" si="53"/>
        <v>6</v>
      </c>
      <c r="AN19" s="107">
        <f t="shared" si="54"/>
        <v>0.0075925925925925675</v>
      </c>
      <c r="AP19" s="106">
        <f t="shared" si="55"/>
        <v>5</v>
      </c>
      <c r="AQ19" s="107">
        <f t="shared" si="56"/>
        <v>0.007210648148148119</v>
      </c>
      <c r="AS19" s="120" t="str">
        <f t="shared" si="14"/>
        <v>The Drowned Rats</v>
      </c>
      <c r="AT19" s="121">
        <f t="shared" si="15"/>
        <v>0.0004976851851851843</v>
      </c>
      <c r="AU19" s="121">
        <f t="shared" si="16"/>
        <v>0.0005069444444444418</v>
      </c>
      <c r="AV19" s="121">
        <f t="shared" si="17"/>
        <v>0.0010300925925925963</v>
      </c>
      <c r="AW19" s="121">
        <f t="shared" si="18"/>
        <v>0.0008333333333333387</v>
      </c>
      <c r="AX19" s="121">
        <f t="shared" si="19"/>
        <v>0.0017939814814814867</v>
      </c>
      <c r="AY19" s="121">
        <f t="shared" si="20"/>
        <v>0.0018657407407407234</v>
      </c>
      <c r="AZ19" s="121">
        <f t="shared" si="21"/>
        <v>0.002349537037037039</v>
      </c>
      <c r="BA19" s="121">
        <f t="shared" si="22"/>
        <v>0.002592592592592591</v>
      </c>
      <c r="BB19" s="121">
        <f t="shared" si="23"/>
        <v>0.0038078703703703642</v>
      </c>
      <c r="BC19" s="121">
        <f t="shared" si="24"/>
        <v>0.006261574074074058</v>
      </c>
      <c r="BD19" s="121">
        <f t="shared" si="25"/>
        <v>0.005300925925925903</v>
      </c>
      <c r="BE19" s="121">
        <f t="shared" si="26"/>
        <v>0.0059374999999999845</v>
      </c>
      <c r="BF19" s="121">
        <f t="shared" si="27"/>
        <v>0.0075925925925925675</v>
      </c>
      <c r="BG19" s="121">
        <f t="shared" si="28"/>
        <v>0.007210648148148119</v>
      </c>
    </row>
  </sheetData>
  <printOptions/>
  <pageMargins left="0.75" right="0.75" top="1" bottom="1" header="0.5" footer="0.5"/>
  <pageSetup fitToHeight="1" fitToWidth="1" horizontalDpi="300" verticalDpi="300" orientation="landscape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0"/>
  <sheetViews>
    <sheetView showZeros="0" workbookViewId="0" topLeftCell="B1">
      <selection activeCell="B1" sqref="B1"/>
    </sheetView>
  </sheetViews>
  <sheetFormatPr defaultColWidth="9.140625" defaultRowHeight="12.75"/>
  <cols>
    <col min="1" max="1" width="3.7109375" style="2" customWidth="1"/>
    <col min="2" max="2" width="16.421875" style="1" customWidth="1"/>
    <col min="3" max="3" width="5.7109375" style="2" customWidth="1"/>
    <col min="4" max="4" width="5.7109375" style="11" customWidth="1"/>
    <col min="5" max="5" width="5.7109375" style="3" customWidth="1"/>
    <col min="6" max="6" width="6.7109375" style="11" customWidth="1"/>
    <col min="7" max="7" width="1.7109375" style="1" customWidth="1"/>
    <col min="8" max="8" width="5.7109375" style="2" customWidth="1"/>
    <col min="9" max="9" width="5.7109375" style="11" customWidth="1"/>
    <col min="10" max="10" width="5.7109375" style="3" customWidth="1"/>
    <col min="11" max="11" width="6.7109375" style="11" customWidth="1"/>
    <col min="12" max="12" width="1.7109375" style="1" customWidth="1"/>
    <col min="13" max="13" width="5.7109375" style="2" customWidth="1"/>
    <col min="14" max="14" width="5.7109375" style="11" customWidth="1"/>
    <col min="15" max="15" width="5.7109375" style="3" customWidth="1"/>
    <col min="16" max="16" width="6.7109375" style="11" customWidth="1"/>
    <col min="17" max="17" width="1.7109375" style="1" customWidth="1"/>
    <col min="18" max="18" width="5.7109375" style="2" customWidth="1"/>
    <col min="19" max="19" width="5.7109375" style="11" customWidth="1"/>
    <col min="20" max="20" width="5.7109375" style="3" customWidth="1"/>
    <col min="21" max="21" width="6.7109375" style="11" customWidth="1"/>
    <col min="22" max="22" width="1.7109375" style="1" customWidth="1"/>
    <col min="23" max="23" width="7.7109375" style="3" customWidth="1"/>
    <col min="24" max="24" width="7.7109375" style="11" customWidth="1"/>
    <col min="25" max="25" width="1.1484375" style="1" customWidth="1"/>
    <col min="26" max="16384" width="9.140625" style="1" customWidth="1"/>
  </cols>
  <sheetData>
    <row r="1" spans="1:24" s="8" customFormat="1" ht="12.75">
      <c r="A1" s="26"/>
      <c r="B1" s="27"/>
      <c r="C1" s="12" t="s">
        <v>33</v>
      </c>
      <c r="D1" s="19"/>
      <c r="E1" s="21"/>
      <c r="F1" s="23"/>
      <c r="G1" s="1"/>
      <c r="H1" s="12" t="s">
        <v>34</v>
      </c>
      <c r="I1" s="19"/>
      <c r="J1" s="21"/>
      <c r="K1" s="23"/>
      <c r="L1" s="1"/>
      <c r="M1" s="12" t="s">
        <v>35</v>
      </c>
      <c r="N1" s="19"/>
      <c r="O1" s="21"/>
      <c r="P1" s="23"/>
      <c r="Q1" s="1"/>
      <c r="R1" s="12" t="s">
        <v>36</v>
      </c>
      <c r="S1" s="19"/>
      <c r="T1" s="21"/>
      <c r="U1" s="23"/>
      <c r="W1" s="29" t="s">
        <v>39</v>
      </c>
      <c r="X1" s="28" t="s">
        <v>40</v>
      </c>
    </row>
    <row r="2" spans="1:26" ht="12.75">
      <c r="A2" s="10" t="s">
        <v>28</v>
      </c>
      <c r="B2" s="9"/>
      <c r="C2" s="149" t="s">
        <v>11</v>
      </c>
      <c r="D2" s="28" t="s">
        <v>7</v>
      </c>
      <c r="E2" s="29" t="s">
        <v>32</v>
      </c>
      <c r="F2" s="28" t="s">
        <v>8</v>
      </c>
      <c r="H2" s="13" t="s">
        <v>11</v>
      </c>
      <c r="I2" s="20" t="s">
        <v>7</v>
      </c>
      <c r="J2" s="22" t="s">
        <v>32</v>
      </c>
      <c r="K2" s="20" t="s">
        <v>8</v>
      </c>
      <c r="M2" s="13" t="s">
        <v>11</v>
      </c>
      <c r="N2" s="20" t="s">
        <v>7</v>
      </c>
      <c r="O2" s="22" t="s">
        <v>32</v>
      </c>
      <c r="P2" s="20" t="s">
        <v>8</v>
      </c>
      <c r="R2" s="13" t="s">
        <v>11</v>
      </c>
      <c r="S2" s="20" t="s">
        <v>7</v>
      </c>
      <c r="T2" s="22" t="s">
        <v>32</v>
      </c>
      <c r="U2" s="20" t="s">
        <v>8</v>
      </c>
      <c r="W2" s="159" t="s">
        <v>38</v>
      </c>
      <c r="X2" s="160" t="s">
        <v>8</v>
      </c>
      <c r="Z2" s="2" t="s">
        <v>10</v>
      </c>
    </row>
    <row r="3" spans="1:26" ht="12.75">
      <c r="A3" s="4"/>
      <c r="B3" s="148" t="str">
        <f>+'Team Selection'!D3</f>
        <v>Dan Hornery</v>
      </c>
      <c r="C3" s="150" t="str">
        <f>VLOOKUP($B3&amp;"1",Data!$C:$G,2,FALSE)</f>
        <v>1 #1</v>
      </c>
      <c r="D3" s="151">
        <f>VLOOKUP($B3&amp;"1",Data!$C:$G,4,FALSE)</f>
        <v>0.006944444444444444</v>
      </c>
      <c r="E3" s="152">
        <f>VLOOKUP($B3&amp;"1",Data!$C:$G,5,FALSE)</f>
        <v>3</v>
      </c>
      <c r="F3" s="153">
        <f aca="true" t="shared" si="0" ref="F3:F9">+D3/E3</f>
        <v>0.0023148148148148147</v>
      </c>
      <c r="H3" s="150">
        <f>VLOOKUP($B3&amp;"2",Data!$C:$G,2,FALSE)</f>
        <v>5</v>
      </c>
      <c r="I3" s="151">
        <f>VLOOKUP($B3&amp;"2",Data!$C:$G,4,FALSE)</f>
        <v>0.009768518518518518</v>
      </c>
      <c r="J3" s="152">
        <f>VLOOKUP($B3&amp;"2",Data!$C:$G,5,FALSE)</f>
        <v>4.7</v>
      </c>
      <c r="K3" s="153">
        <f aca="true" t="shared" si="1" ref="K3:K9">+I3/J3</f>
        <v>0.002078408195429472</v>
      </c>
      <c r="M3" s="150">
        <f>VLOOKUP($B3&amp;"3",Data!$C:$G,2,FALSE)</f>
        <v>9</v>
      </c>
      <c r="N3" s="151">
        <f>VLOOKUP($B3&amp;"3",Data!$C:$G,4,FALSE)</f>
        <v>0.008935185185185187</v>
      </c>
      <c r="O3" s="152">
        <f>VLOOKUP($B3&amp;"3",Data!$C:$G,5,FALSE)</f>
        <v>3.6</v>
      </c>
      <c r="P3" s="153">
        <f aca="true" t="shared" si="2" ref="P3:P9">+N3/O3</f>
        <v>0.002481995884773663</v>
      </c>
      <c r="R3" s="150">
        <f>VLOOKUP($B3&amp;"4",Data!$C:$G,2,FALSE)</f>
        <v>13</v>
      </c>
      <c r="S3" s="151">
        <f>VLOOKUP($B3&amp;"4",Data!$C:$G,4,FALSE)</f>
        <v>0.010300925925925927</v>
      </c>
      <c r="T3" s="152">
        <f>VLOOKUP($B3&amp;"4",Data!$C:$G,5,FALSE)</f>
        <v>4.5</v>
      </c>
      <c r="U3" s="153">
        <f aca="true" t="shared" si="3" ref="U3:U9">+S3/T3</f>
        <v>0.0022890946502057614</v>
      </c>
      <c r="W3" s="161">
        <f>SUM(E3,J3,O3,T3)</f>
        <v>15.8</v>
      </c>
      <c r="X3" s="153">
        <f>SUM(D3,I3,N3,S3)/W3</f>
        <v>0.0022752578527894985</v>
      </c>
      <c r="Z3" s="2">
        <f>RANK(X3,X3:X9,1)</f>
        <v>1</v>
      </c>
    </row>
    <row r="4" spans="1:26" ht="12.75">
      <c r="A4" s="5"/>
      <c r="B4" s="148" t="str">
        <f>+'Team Selection'!D4</f>
        <v>Colin Thornton</v>
      </c>
      <c r="C4" s="154" t="str">
        <f>VLOOKUP($B4&amp;"1",Data!$C:$G,2,FALSE)</f>
        <v>1 #1</v>
      </c>
      <c r="D4" s="14">
        <f>VLOOKUP($B4&amp;"1",Data!$C:$G,4,FALSE)</f>
        <v>0.007523148148148148</v>
      </c>
      <c r="E4" s="15">
        <f>VLOOKUP($B4&amp;"1",Data!$C:$G,5,FALSE)</f>
        <v>3</v>
      </c>
      <c r="F4" s="16">
        <f t="shared" si="0"/>
        <v>0.002507716049382716</v>
      </c>
      <c r="H4" s="154">
        <f>VLOOKUP($B4&amp;"2",Data!$C:$G,2,FALSE)</f>
        <v>5</v>
      </c>
      <c r="I4" s="14">
        <f>VLOOKUP($B4&amp;"2",Data!$C:$G,4,FALSE)</f>
        <v>0.010729166666666666</v>
      </c>
      <c r="J4" s="15">
        <f>VLOOKUP($B4&amp;"2",Data!$C:$G,5,FALSE)</f>
        <v>4.7</v>
      </c>
      <c r="K4" s="16">
        <f t="shared" si="1"/>
        <v>0.002282801418439716</v>
      </c>
      <c r="M4" s="154">
        <f>VLOOKUP($B4&amp;"3",Data!$C:$G,2,FALSE)</f>
        <v>10</v>
      </c>
      <c r="N4" s="14">
        <f>VLOOKUP($B4&amp;"3",Data!$C:$G,4,FALSE)</f>
        <v>0.010659722222222221</v>
      </c>
      <c r="O4" s="15">
        <f>VLOOKUP($B4&amp;"3",Data!$C:$G,5,FALSE)</f>
        <v>4.45</v>
      </c>
      <c r="P4" s="16">
        <f t="shared" si="2"/>
        <v>0.0023954431960049936</v>
      </c>
      <c r="R4" s="154">
        <f>VLOOKUP($B4&amp;"4",Data!$C:$G,2,FALSE)</f>
        <v>13</v>
      </c>
      <c r="S4" s="14">
        <f>VLOOKUP($B4&amp;"4",Data!$C:$G,4,FALSE)</f>
        <v>0.011111111111111112</v>
      </c>
      <c r="T4" s="15">
        <f>VLOOKUP($B4&amp;"4",Data!$C:$G,5,FALSE)</f>
        <v>4.5</v>
      </c>
      <c r="U4" s="16">
        <f t="shared" si="3"/>
        <v>0.0024691358024691358</v>
      </c>
      <c r="W4" s="162">
        <f aca="true" t="shared" si="4" ref="W4:W9">SUM(E4,J4,O4,T4)</f>
        <v>16.65</v>
      </c>
      <c r="X4" s="16">
        <f aca="true" t="shared" si="5" ref="X4:X9">SUM(D4,I4,N4,S4)/W4</f>
        <v>0.0024037926815704594</v>
      </c>
      <c r="Z4" s="2">
        <f>RANK(X4,X3:X9,1)</f>
        <v>5</v>
      </c>
    </row>
    <row r="5" spans="1:26" ht="12.75">
      <c r="A5" s="5"/>
      <c r="B5" s="148" t="str">
        <f>+'Team Selection'!D5</f>
        <v>Brett Coleman</v>
      </c>
      <c r="C5" s="154" t="str">
        <f>VLOOKUP($B5&amp;"1",Data!$C:$G,2,FALSE)</f>
        <v>1 #1</v>
      </c>
      <c r="D5" s="14">
        <f>VLOOKUP($B5&amp;"1",Data!$C:$G,4,FALSE)</f>
        <v>0.007256944444444444</v>
      </c>
      <c r="E5" s="15">
        <f>VLOOKUP($B5&amp;"1",Data!$C:$G,5,FALSE)</f>
        <v>3</v>
      </c>
      <c r="F5" s="16">
        <f t="shared" si="0"/>
        <v>0.0024189814814814816</v>
      </c>
      <c r="H5" s="154">
        <f>VLOOKUP($B5&amp;"2",Data!$C:$G,2,FALSE)</f>
        <v>5</v>
      </c>
      <c r="I5" s="14">
        <f>VLOOKUP($B5&amp;"2",Data!$C:$G,4,FALSE)</f>
        <v>0.01068287037037037</v>
      </c>
      <c r="J5" s="15">
        <f>VLOOKUP($B5&amp;"2",Data!$C:$G,5,FALSE)</f>
        <v>4.7</v>
      </c>
      <c r="K5" s="16">
        <f t="shared" si="1"/>
        <v>0.0022729511426319935</v>
      </c>
      <c r="M5" s="154">
        <f>VLOOKUP($B5&amp;"3",Data!$C:$G,2,FALSE)</f>
        <v>10</v>
      </c>
      <c r="N5" s="14">
        <f>VLOOKUP($B5&amp;"3",Data!$C:$G,4,FALSE)</f>
        <v>0.010185185185185184</v>
      </c>
      <c r="O5" s="15">
        <f>VLOOKUP($B5&amp;"3",Data!$C:$G,5,FALSE)</f>
        <v>4.45</v>
      </c>
      <c r="P5" s="16">
        <f t="shared" si="2"/>
        <v>0.002288805659592176</v>
      </c>
      <c r="R5" s="154">
        <f>VLOOKUP($B5&amp;"4",Data!$C:$G,2,FALSE)</f>
        <v>13</v>
      </c>
      <c r="S5" s="14">
        <f>VLOOKUP($B5&amp;"4",Data!$C:$G,4,FALSE)</f>
        <v>0.011273148148148148</v>
      </c>
      <c r="T5" s="15">
        <f>VLOOKUP($B5&amp;"4",Data!$C:$G,5,FALSE)</f>
        <v>4.5</v>
      </c>
      <c r="U5" s="16">
        <f t="shared" si="3"/>
        <v>0.0025051440329218106</v>
      </c>
      <c r="W5" s="162">
        <f t="shared" si="4"/>
        <v>16.65</v>
      </c>
      <c r="X5" s="16">
        <f t="shared" si="5"/>
        <v>0.002366255144032922</v>
      </c>
      <c r="Z5" s="2">
        <f>RANK(X5,X3:X9,1)</f>
        <v>3</v>
      </c>
    </row>
    <row r="6" spans="1:26" ht="12.75">
      <c r="A6" s="5"/>
      <c r="B6" s="148" t="str">
        <f>+'Team Selection'!D6</f>
        <v>Paul Martinico</v>
      </c>
      <c r="C6" s="154" t="str">
        <f>VLOOKUP($B6&amp;"1",Data!$C:$G,2,FALSE)</f>
        <v>1 #1</v>
      </c>
      <c r="D6" s="14">
        <f>VLOOKUP($B6&amp;"1",Data!$C:$G,4,FALSE)</f>
        <v>0.007256944444444444</v>
      </c>
      <c r="E6" s="15">
        <f>VLOOKUP($B6&amp;"1",Data!$C:$G,5,FALSE)</f>
        <v>3</v>
      </c>
      <c r="F6" s="16">
        <f t="shared" si="0"/>
        <v>0.0024189814814814816</v>
      </c>
      <c r="H6" s="154">
        <f>VLOOKUP($B6&amp;"2",Data!$C:$G,2,FALSE)</f>
        <v>5</v>
      </c>
      <c r="I6" s="14">
        <f>VLOOKUP($B6&amp;"2",Data!$C:$G,4,FALSE)</f>
        <v>0.010798611111111111</v>
      </c>
      <c r="J6" s="15">
        <f>VLOOKUP($B6&amp;"2",Data!$C:$G,5,FALSE)</f>
        <v>4.7</v>
      </c>
      <c r="K6" s="16">
        <f t="shared" si="1"/>
        <v>0.0022975768321513</v>
      </c>
      <c r="M6" s="154">
        <f>VLOOKUP($B6&amp;"3",Data!$C:$G,2,FALSE)</f>
        <v>10</v>
      </c>
      <c r="N6" s="14">
        <f>VLOOKUP($B6&amp;"3",Data!$C:$G,4,FALSE)</f>
        <v>0.009837962962962963</v>
      </c>
      <c r="O6" s="15">
        <f>VLOOKUP($B6&amp;"3",Data!$C:$G,5,FALSE)</f>
        <v>4.45</v>
      </c>
      <c r="P6" s="16">
        <f t="shared" si="2"/>
        <v>0.0022107781939242612</v>
      </c>
      <c r="R6" s="154">
        <f>VLOOKUP($B6&amp;"4",Data!$C:$G,2,FALSE)</f>
        <v>12</v>
      </c>
      <c r="S6" s="14">
        <f>VLOOKUP($B6&amp;"4",Data!$C:$G,4,FALSE)</f>
        <v>0.010578703703703703</v>
      </c>
      <c r="T6" s="15">
        <f>VLOOKUP($B6&amp;"4",Data!$C:$G,5,FALSE)</f>
        <v>4</v>
      </c>
      <c r="U6" s="16">
        <f t="shared" si="3"/>
        <v>0.0026446759259259258</v>
      </c>
      <c r="W6" s="162">
        <f t="shared" si="4"/>
        <v>16.15</v>
      </c>
      <c r="X6" s="16">
        <f t="shared" si="5"/>
        <v>0.0023821809425524595</v>
      </c>
      <c r="Z6" s="2">
        <f>RANK(X6,X3:X9,1)</f>
        <v>4</v>
      </c>
    </row>
    <row r="7" spans="1:26" ht="12.75">
      <c r="A7" s="5"/>
      <c r="B7" s="148" t="str">
        <f>+'Team Selection'!D7</f>
        <v>Troy Williams</v>
      </c>
      <c r="C7" s="154" t="str">
        <f>VLOOKUP($B7&amp;"1",Data!$C:$G,2,FALSE)</f>
        <v>1 #1</v>
      </c>
      <c r="D7" s="14">
        <f>VLOOKUP($B7&amp;"1",Data!$C:$G,4,FALSE)</f>
        <v>0.007296296296296296</v>
      </c>
      <c r="E7" s="15">
        <f>VLOOKUP($B7&amp;"1",Data!$C:$G,5,FALSE)</f>
        <v>3</v>
      </c>
      <c r="F7" s="16">
        <f t="shared" si="0"/>
        <v>0.002432098765432099</v>
      </c>
      <c r="H7" s="154">
        <f>VLOOKUP($B7&amp;"2",Data!$C:$G,2,FALSE)</f>
        <v>5</v>
      </c>
      <c r="I7" s="14">
        <f>VLOOKUP($B7&amp;"2",Data!$C:$G,4,FALSE)</f>
        <v>0.010375</v>
      </c>
      <c r="J7" s="15">
        <f>VLOOKUP($B7&amp;"2",Data!$C:$G,5,FALSE)</f>
        <v>4.7</v>
      </c>
      <c r="K7" s="16">
        <f t="shared" si="1"/>
        <v>0.0022074468085106383</v>
      </c>
      <c r="M7" s="154">
        <f>VLOOKUP($B7&amp;"3",Data!$C:$G,2,FALSE)</f>
        <v>9</v>
      </c>
      <c r="N7" s="14">
        <f>VLOOKUP($B7&amp;"3",Data!$C:$G,4,FALSE)</f>
        <v>0.009710648148148147</v>
      </c>
      <c r="O7" s="15">
        <f>VLOOKUP($B7&amp;"3",Data!$C:$G,5,FALSE)</f>
        <v>3.6</v>
      </c>
      <c r="P7" s="16">
        <f t="shared" si="2"/>
        <v>0.002697402263374485</v>
      </c>
      <c r="R7" s="154">
        <f>VLOOKUP($B7&amp;"4",Data!$C:$G,2,FALSE)</f>
        <v>13</v>
      </c>
      <c r="S7" s="14">
        <f>VLOOKUP($B7&amp;"4",Data!$C:$G,4,FALSE)</f>
        <v>0.010659722222222221</v>
      </c>
      <c r="T7" s="15">
        <f>VLOOKUP($B7&amp;"4",Data!$C:$G,5,FALSE)</f>
        <v>4.5</v>
      </c>
      <c r="U7" s="16">
        <f t="shared" si="3"/>
        <v>0.002368827160493827</v>
      </c>
      <c r="W7" s="162">
        <f t="shared" si="4"/>
        <v>15.8</v>
      </c>
      <c r="X7" s="16">
        <f t="shared" si="5"/>
        <v>0.0024077004219409284</v>
      </c>
      <c r="Z7" s="2">
        <f>RANK(X7,X3:X9,1)</f>
        <v>6</v>
      </c>
    </row>
    <row r="8" spans="1:26" ht="12.75">
      <c r="A8" s="5"/>
      <c r="B8" s="148" t="str">
        <f>+'Team Selection'!D8</f>
        <v>Stephen Paine</v>
      </c>
      <c r="C8" s="154" t="str">
        <f>VLOOKUP($B8&amp;"1",Data!$C:$G,2,FALSE)</f>
        <v>1 #1</v>
      </c>
      <c r="D8" s="14">
        <f>VLOOKUP($B8&amp;"1",Data!$C:$G,4,FALSE)</f>
        <v>0.007337962962962963</v>
      </c>
      <c r="E8" s="15">
        <f>VLOOKUP($B8&amp;"1",Data!$C:$G,5,FALSE)</f>
        <v>3</v>
      </c>
      <c r="F8" s="16">
        <f t="shared" si="0"/>
        <v>0.0024459876543209877</v>
      </c>
      <c r="H8" s="154">
        <f>VLOOKUP($B8&amp;"2",Data!$C:$G,2,FALSE)</f>
        <v>5</v>
      </c>
      <c r="I8" s="14">
        <f>VLOOKUP($B8&amp;"2",Data!$C:$G,4,FALSE)</f>
        <v>0.010613425925925927</v>
      </c>
      <c r="J8" s="15">
        <f>VLOOKUP($B8&amp;"2",Data!$C:$G,5,FALSE)</f>
        <v>4.7</v>
      </c>
      <c r="K8" s="16">
        <f t="shared" si="1"/>
        <v>0.00225817572892041</v>
      </c>
      <c r="M8" s="154">
        <f>VLOOKUP($B8&amp;"3",Data!$C:$G,2,FALSE)</f>
        <v>10</v>
      </c>
      <c r="N8" s="14">
        <f>VLOOKUP($B8&amp;"3",Data!$C:$G,4,FALSE)</f>
        <v>0.01017361111111111</v>
      </c>
      <c r="O8" s="15">
        <f>VLOOKUP($B8&amp;"3",Data!$C:$G,5,FALSE)</f>
        <v>4.45</v>
      </c>
      <c r="P8" s="16">
        <f t="shared" si="2"/>
        <v>0.0022862047440699125</v>
      </c>
      <c r="R8" s="154">
        <f>VLOOKUP($B8&amp;"4",Data!$C:$G,2,FALSE)</f>
        <v>13</v>
      </c>
      <c r="S8" s="14">
        <f>VLOOKUP($B8&amp;"4",Data!$C:$G,4,FALSE)</f>
        <v>0.010775462962962964</v>
      </c>
      <c r="T8" s="15">
        <f>VLOOKUP($B8&amp;"4",Data!$C:$G,5,FALSE)</f>
        <v>4.5</v>
      </c>
      <c r="U8" s="16">
        <f t="shared" si="3"/>
        <v>0.0023945473251028807</v>
      </c>
      <c r="W8" s="162">
        <f t="shared" si="4"/>
        <v>16.65</v>
      </c>
      <c r="X8" s="16">
        <f t="shared" si="5"/>
        <v>0.0023363641419196983</v>
      </c>
      <c r="Z8" s="2">
        <f>RANK(X8,X3:X9,1)</f>
        <v>2</v>
      </c>
    </row>
    <row r="9" spans="1:26" ht="12.75">
      <c r="A9" s="5"/>
      <c r="B9" s="148" t="str">
        <f>+'Team Selection'!D9</f>
        <v>Matt Sandilands</v>
      </c>
      <c r="C9" s="155" t="str">
        <f>VLOOKUP($B9&amp;"1",Data!$C:$G,2,FALSE)</f>
        <v>1 #1</v>
      </c>
      <c r="D9" s="156">
        <f>VLOOKUP($B9&amp;"1",Data!$C:$G,4,FALSE)</f>
        <v>0.007627314814814815</v>
      </c>
      <c r="E9" s="157">
        <f>VLOOKUP($B9&amp;"1",Data!$C:$G,5,FALSE)</f>
        <v>3</v>
      </c>
      <c r="F9" s="158">
        <f t="shared" si="0"/>
        <v>0.0025424382716049384</v>
      </c>
      <c r="H9" s="155">
        <f>VLOOKUP($B9&amp;"2",Data!$C:$G,2,FALSE)</f>
        <v>5</v>
      </c>
      <c r="I9" s="156">
        <f>VLOOKUP($B9&amp;"2",Data!$C:$G,4,FALSE)</f>
        <v>0.01175925925925926</v>
      </c>
      <c r="J9" s="157">
        <f>VLOOKUP($B9&amp;"2",Data!$C:$G,5,FALSE)</f>
        <v>4.7</v>
      </c>
      <c r="K9" s="158">
        <f t="shared" si="1"/>
        <v>0.0025019700551615442</v>
      </c>
      <c r="M9" s="155">
        <f>VLOOKUP($B9&amp;"3",Data!$C:$G,2,FALSE)</f>
        <v>9</v>
      </c>
      <c r="N9" s="156">
        <f>VLOOKUP($B9&amp;"3",Data!$C:$G,4,FALSE)</f>
        <v>0.011157407407407408</v>
      </c>
      <c r="O9" s="157">
        <f>VLOOKUP($B9&amp;"3",Data!$C:$G,5,FALSE)</f>
        <v>3.6</v>
      </c>
      <c r="P9" s="158">
        <f t="shared" si="2"/>
        <v>0.0030992798353909464</v>
      </c>
      <c r="R9" s="155">
        <f>VLOOKUP($B9&amp;"4",Data!$C:$G,2,FALSE)</f>
        <v>13</v>
      </c>
      <c r="S9" s="156">
        <f>VLOOKUP($B9&amp;"4",Data!$C:$G,4,FALSE)</f>
        <v>0.013113425925925926</v>
      </c>
      <c r="T9" s="157">
        <f>VLOOKUP($B9&amp;"4",Data!$C:$G,5,FALSE)</f>
        <v>4.5</v>
      </c>
      <c r="U9" s="158">
        <f t="shared" si="3"/>
        <v>0.0029140946502057615</v>
      </c>
      <c r="W9" s="163">
        <f t="shared" si="4"/>
        <v>15.8</v>
      </c>
      <c r="X9" s="158">
        <f t="shared" si="5"/>
        <v>0.0027631270511017346</v>
      </c>
      <c r="Z9" s="2">
        <f>RANK(X9,X3:X9,1)</f>
        <v>7</v>
      </c>
    </row>
    <row r="10" spans="1:24" s="8" customFormat="1" ht="12.75">
      <c r="A10" s="7"/>
      <c r="C10" s="7"/>
      <c r="D10" s="14"/>
      <c r="E10" s="15"/>
      <c r="F10" s="14"/>
      <c r="H10" s="7"/>
      <c r="I10" s="14"/>
      <c r="J10" s="15"/>
      <c r="K10" s="14"/>
      <c r="M10" s="7"/>
      <c r="N10" s="14"/>
      <c r="O10" s="15"/>
      <c r="P10" s="14"/>
      <c r="R10" s="7"/>
      <c r="S10" s="14"/>
      <c r="T10" s="15"/>
      <c r="U10" s="14"/>
      <c r="W10" s="15"/>
      <c r="X10" s="14"/>
    </row>
    <row r="11" spans="1:24" s="8" customFormat="1" ht="12.75">
      <c r="A11" s="7"/>
      <c r="C11" s="7"/>
      <c r="D11" s="14"/>
      <c r="E11" s="15"/>
      <c r="F11" s="14"/>
      <c r="H11" s="7"/>
      <c r="I11" s="14"/>
      <c r="J11" s="15"/>
      <c r="K11" s="14"/>
      <c r="M11" s="7"/>
      <c r="N11" s="14"/>
      <c r="O11" s="15"/>
      <c r="P11" s="14"/>
      <c r="R11" s="7"/>
      <c r="S11" s="14"/>
      <c r="T11" s="15"/>
      <c r="U11" s="14"/>
      <c r="W11" s="29" t="s">
        <v>39</v>
      </c>
      <c r="X11" s="28" t="s">
        <v>40</v>
      </c>
    </row>
    <row r="12" spans="1:24" ht="12.75">
      <c r="A12" s="10" t="s">
        <v>29</v>
      </c>
      <c r="B12" s="9"/>
      <c r="C12" s="13" t="s">
        <v>11</v>
      </c>
      <c r="D12" s="20" t="s">
        <v>7</v>
      </c>
      <c r="E12" s="22" t="s">
        <v>32</v>
      </c>
      <c r="F12" s="20" t="s">
        <v>8</v>
      </c>
      <c r="H12" s="13" t="s">
        <v>11</v>
      </c>
      <c r="I12" s="20" t="s">
        <v>7</v>
      </c>
      <c r="J12" s="22" t="s">
        <v>32</v>
      </c>
      <c r="K12" s="20" t="s">
        <v>8</v>
      </c>
      <c r="M12" s="13" t="s">
        <v>11</v>
      </c>
      <c r="N12" s="20" t="s">
        <v>7</v>
      </c>
      <c r="O12" s="22" t="s">
        <v>32</v>
      </c>
      <c r="P12" s="20" t="s">
        <v>8</v>
      </c>
      <c r="R12" s="13" t="s">
        <v>11</v>
      </c>
      <c r="S12" s="20" t="s">
        <v>7</v>
      </c>
      <c r="T12" s="22" t="s">
        <v>32</v>
      </c>
      <c r="U12" s="20" t="s">
        <v>8</v>
      </c>
      <c r="W12" s="25" t="s">
        <v>38</v>
      </c>
      <c r="X12" s="24" t="s">
        <v>8</v>
      </c>
    </row>
    <row r="13" spans="1:26" ht="12.75">
      <c r="A13" s="4"/>
      <c r="B13" s="139" t="str">
        <f>+'Team Selection'!F3</f>
        <v>Anthony Mithen</v>
      </c>
      <c r="C13" s="150" t="str">
        <f>VLOOKUP($B13&amp;"1",Data!$C:$G,2,FALSE)</f>
        <v>1 #2</v>
      </c>
      <c r="D13" s="151">
        <f>VLOOKUP($B13&amp;"1",Data!$C:$G,4,FALSE)</f>
        <v>0.007824074074074075</v>
      </c>
      <c r="E13" s="152">
        <f>VLOOKUP($B13&amp;"1",Data!$C:$G,5,FALSE)</f>
        <v>3</v>
      </c>
      <c r="F13" s="153">
        <f aca="true" t="shared" si="6" ref="F13:F19">+D13/E13</f>
        <v>0.002608024691358025</v>
      </c>
      <c r="H13" s="150">
        <f>VLOOKUP($B13&amp;"2",Data!$C:$G,2,FALSE)</f>
        <v>4</v>
      </c>
      <c r="I13" s="151">
        <f>VLOOKUP($B13&amp;"2",Data!$C:$G,4,FALSE)</f>
        <v>0.010636574074074074</v>
      </c>
      <c r="J13" s="152">
        <f>VLOOKUP($B13&amp;"2",Data!$C:$G,5,FALSE)</f>
        <v>4.2</v>
      </c>
      <c r="K13" s="153">
        <f aca="true" t="shared" si="7" ref="K13:K19">+I13/J13</f>
        <v>0.002532517636684303</v>
      </c>
      <c r="M13" s="150">
        <f>VLOOKUP($B13&amp;"3",Data!$C:$G,2,FALSE)</f>
        <v>10</v>
      </c>
      <c r="N13" s="151">
        <f>VLOOKUP($B13&amp;"3",Data!$C:$G,4,FALSE)</f>
        <v>0.0109375</v>
      </c>
      <c r="O13" s="152">
        <f>VLOOKUP($B13&amp;"3",Data!$C:$G,5,FALSE)</f>
        <v>4.45</v>
      </c>
      <c r="P13" s="153">
        <f aca="true" t="shared" si="8" ref="P13:P19">+N13/O13</f>
        <v>0.0024578651685393258</v>
      </c>
      <c r="R13" s="150">
        <f>VLOOKUP($B13&amp;"4",Data!$C:$G,2,FALSE)</f>
        <v>14</v>
      </c>
      <c r="S13" s="151">
        <f>VLOOKUP($B13&amp;"4",Data!$C:$G,4,FALSE)</f>
        <v>0.009641203703703704</v>
      </c>
      <c r="T13" s="152">
        <f>VLOOKUP($B13&amp;"4",Data!$C:$G,5,FALSE)</f>
        <v>3.7</v>
      </c>
      <c r="U13" s="153">
        <f aca="true" t="shared" si="9" ref="U13:U19">+S13/T13</f>
        <v>0.002605730730730731</v>
      </c>
      <c r="W13" s="161">
        <f>SUM(E13,J13,O13,T13)</f>
        <v>15.350000000000001</v>
      </c>
      <c r="X13" s="153">
        <f>SUM(D13,I13,N13,S13)/W13</f>
        <v>0.002543280250934974</v>
      </c>
      <c r="Z13" s="2">
        <f>RANK(X13,X13:X19,1)</f>
        <v>2</v>
      </c>
    </row>
    <row r="14" spans="1:26" ht="12.75">
      <c r="A14" s="5"/>
      <c r="B14" s="139" t="str">
        <f>+'Team Selection'!F4</f>
        <v>Bruce Arthur</v>
      </c>
      <c r="C14" s="154" t="str">
        <f>VLOOKUP($B14&amp;"1",Data!$C:$G,2,FALSE)</f>
        <v>1 #2</v>
      </c>
      <c r="D14" s="14">
        <f>VLOOKUP($B14&amp;"1",Data!$C:$G,4,FALSE)</f>
        <v>0.007962962962962963</v>
      </c>
      <c r="E14" s="15">
        <f>VLOOKUP($B14&amp;"1",Data!$C:$G,5,FALSE)</f>
        <v>3</v>
      </c>
      <c r="F14" s="16">
        <f t="shared" si="6"/>
        <v>0.002654320987654321</v>
      </c>
      <c r="H14" s="154">
        <f>VLOOKUP($B14&amp;"2",Data!$C:$G,2,FALSE)</f>
        <v>4</v>
      </c>
      <c r="I14" s="14">
        <f>VLOOKUP($B14&amp;"2",Data!$C:$G,4,FALSE)</f>
        <v>0.010497685185185186</v>
      </c>
      <c r="J14" s="15">
        <f>VLOOKUP($B14&amp;"2",Data!$C:$G,5,FALSE)</f>
        <v>4.2</v>
      </c>
      <c r="K14" s="16">
        <f t="shared" si="7"/>
        <v>0.0024994488536155203</v>
      </c>
      <c r="M14" s="154">
        <f>VLOOKUP($B14&amp;"3",Data!$C:$G,2,FALSE)</f>
        <v>9</v>
      </c>
      <c r="N14" s="14">
        <f>VLOOKUP($B14&amp;"3",Data!$C:$G,4,FALSE)</f>
        <v>0.01068287037037037</v>
      </c>
      <c r="O14" s="15">
        <f>VLOOKUP($B14&amp;"3",Data!$C:$G,5,FALSE)</f>
        <v>3.6</v>
      </c>
      <c r="P14" s="16">
        <f t="shared" si="8"/>
        <v>0.002967463991769547</v>
      </c>
      <c r="R14" s="154">
        <f>VLOOKUP($B14&amp;"4",Data!$C:$G,2,FALSE)</f>
        <v>11</v>
      </c>
      <c r="S14" s="14">
        <f>VLOOKUP($B14&amp;"4",Data!$C:$G,4,FALSE)</f>
        <v>0.00917824074074074</v>
      </c>
      <c r="T14" s="15">
        <f>VLOOKUP($B14&amp;"4",Data!$C:$G,5,FALSE)</f>
        <v>4</v>
      </c>
      <c r="U14" s="16">
        <f t="shared" si="9"/>
        <v>0.002294560185185185</v>
      </c>
      <c r="W14" s="162">
        <f aca="true" t="shared" si="10" ref="W14:W19">SUM(E14,J14,O14,T14)</f>
        <v>14.8</v>
      </c>
      <c r="X14" s="16">
        <f aca="true" t="shared" si="11" ref="X14:X19">SUM(D14,I14,N14,S14)/W14</f>
        <v>0.002589308058058058</v>
      </c>
      <c r="Z14" s="2">
        <f>RANK(X14,X13:X19,1)</f>
        <v>5</v>
      </c>
    </row>
    <row r="15" spans="1:26" ht="12.75">
      <c r="A15" s="5"/>
      <c r="B15" s="139" t="str">
        <f>+'Team Selection'!F5</f>
        <v>Shane Fielding</v>
      </c>
      <c r="C15" s="154" t="str">
        <f>VLOOKUP($B15&amp;"1",Data!$C:$G,2,FALSE)</f>
        <v>1 #2</v>
      </c>
      <c r="D15" s="14">
        <f>VLOOKUP($B15&amp;"1",Data!$C:$G,4,FALSE)</f>
        <v>0.007962962962962963</v>
      </c>
      <c r="E15" s="15">
        <f>VLOOKUP($B15&amp;"1",Data!$C:$G,5,FALSE)</f>
        <v>3</v>
      </c>
      <c r="F15" s="16">
        <f t="shared" si="6"/>
        <v>0.002654320987654321</v>
      </c>
      <c r="H15" s="154">
        <f>VLOOKUP($B15&amp;"2",Data!$C:$G,2,FALSE)</f>
        <v>4</v>
      </c>
      <c r="I15" s="14">
        <f>VLOOKUP($B15&amp;"2",Data!$C:$G,4,FALSE)</f>
        <v>0.010127314814814815</v>
      </c>
      <c r="J15" s="15">
        <f>VLOOKUP($B15&amp;"2",Data!$C:$G,5,FALSE)</f>
        <v>4.2</v>
      </c>
      <c r="K15" s="16">
        <f t="shared" si="7"/>
        <v>0.0024112654320987653</v>
      </c>
      <c r="M15" s="154">
        <f>VLOOKUP($B15&amp;"3",Data!$C:$G,2,FALSE)</f>
        <v>9</v>
      </c>
      <c r="N15" s="14">
        <f>VLOOKUP($B15&amp;"3",Data!$C:$G,4,FALSE)</f>
        <v>0.010023148148148147</v>
      </c>
      <c r="O15" s="15">
        <f>VLOOKUP($B15&amp;"3",Data!$C:$G,5,FALSE)</f>
        <v>3.6</v>
      </c>
      <c r="P15" s="16">
        <f t="shared" si="8"/>
        <v>0.002784207818930041</v>
      </c>
      <c r="R15" s="154">
        <f>VLOOKUP($B15&amp;"4",Data!$C:$G,2,FALSE)</f>
        <v>12</v>
      </c>
      <c r="S15" s="14">
        <f>VLOOKUP($B15&amp;"4",Data!$C:$G,4,FALSE)</f>
        <v>0.011157407407407408</v>
      </c>
      <c r="T15" s="15">
        <f>VLOOKUP($B15&amp;"4",Data!$C:$G,5,FALSE)</f>
        <v>4</v>
      </c>
      <c r="U15" s="16">
        <f t="shared" si="9"/>
        <v>0.002789351851851852</v>
      </c>
      <c r="W15" s="162">
        <f t="shared" si="10"/>
        <v>14.8</v>
      </c>
      <c r="X15" s="16">
        <f t="shared" si="11"/>
        <v>0.0026534346846846845</v>
      </c>
      <c r="Z15" s="2">
        <f>RANK(X15,X13:X19,1)</f>
        <v>6</v>
      </c>
    </row>
    <row r="16" spans="1:26" ht="12.75">
      <c r="A16" s="5"/>
      <c r="B16" s="139" t="str">
        <f>+'Team Selection'!F6</f>
        <v>Anthony Lee</v>
      </c>
      <c r="C16" s="154" t="str">
        <f>VLOOKUP($B16&amp;"1",Data!$C:$G,2,FALSE)</f>
        <v>1 #2</v>
      </c>
      <c r="D16" s="14">
        <f>VLOOKUP($B16&amp;"1",Data!$C:$G,4,FALSE)</f>
        <v>0.007650462962962963</v>
      </c>
      <c r="E16" s="15">
        <f>VLOOKUP($B16&amp;"1",Data!$C:$G,5,FALSE)</f>
        <v>3</v>
      </c>
      <c r="F16" s="16">
        <f t="shared" si="6"/>
        <v>0.002550154320987654</v>
      </c>
      <c r="H16" s="154">
        <f>VLOOKUP($B16&amp;"2",Data!$C:$G,2,FALSE)</f>
        <v>4</v>
      </c>
      <c r="I16" s="14">
        <f>VLOOKUP($B16&amp;"2",Data!$C:$G,4,FALSE)</f>
        <v>0.010231481481481482</v>
      </c>
      <c r="J16" s="15">
        <f>VLOOKUP($B16&amp;"2",Data!$C:$G,5,FALSE)</f>
        <v>4.2</v>
      </c>
      <c r="K16" s="16">
        <f t="shared" si="7"/>
        <v>0.002436067019400353</v>
      </c>
      <c r="M16" s="154">
        <f>VLOOKUP($B16&amp;"3",Data!$C:$G,2,FALSE)</f>
        <v>9</v>
      </c>
      <c r="N16" s="14">
        <f>VLOOKUP($B16&amp;"3",Data!$C:$G,4,FALSE)</f>
        <v>0.009942129629629629</v>
      </c>
      <c r="O16" s="15">
        <f>VLOOKUP($B16&amp;"3",Data!$C:$G,5,FALSE)</f>
        <v>3.6</v>
      </c>
      <c r="P16" s="16">
        <f t="shared" si="8"/>
        <v>0.002761702674897119</v>
      </c>
      <c r="R16" s="154">
        <f>VLOOKUP($B16&amp;"4",Data!$C:$G,2,FALSE)</f>
        <v>13</v>
      </c>
      <c r="S16" s="14">
        <f>VLOOKUP($B16&amp;"4",Data!$C:$G,4,FALSE)</f>
        <v>0.011458333333333334</v>
      </c>
      <c r="T16" s="15">
        <f>VLOOKUP($B16&amp;"4",Data!$C:$G,5,FALSE)</f>
        <v>4.5</v>
      </c>
      <c r="U16" s="16">
        <f t="shared" si="9"/>
        <v>0.0025462962962962965</v>
      </c>
      <c r="W16" s="162">
        <f t="shared" si="10"/>
        <v>15.3</v>
      </c>
      <c r="X16" s="16">
        <f t="shared" si="11"/>
        <v>0.002567477608327281</v>
      </c>
      <c r="Z16" s="2">
        <f>RANK(X16,X13:X19,1)</f>
        <v>4</v>
      </c>
    </row>
    <row r="17" spans="1:26" ht="12.75">
      <c r="A17" s="5"/>
      <c r="B17" s="139" t="str">
        <f>+'Team Selection'!F7</f>
        <v>Nic Gilbert</v>
      </c>
      <c r="C17" s="154" t="str">
        <f>VLOOKUP($B17&amp;"1",Data!$C:$G,2,FALSE)</f>
        <v>1 #2</v>
      </c>
      <c r="D17" s="14">
        <f>VLOOKUP($B17&amp;"1",Data!$C:$G,4,FALSE)</f>
        <v>0.007516203703703705</v>
      </c>
      <c r="E17" s="15">
        <f>VLOOKUP($B17&amp;"1",Data!$C:$G,5,FALSE)</f>
        <v>3</v>
      </c>
      <c r="F17" s="16">
        <f t="shared" si="6"/>
        <v>0.0025054012345679015</v>
      </c>
      <c r="H17" s="154">
        <f>VLOOKUP($B17&amp;"2",Data!$C:$G,2,FALSE)</f>
        <v>4</v>
      </c>
      <c r="I17" s="14">
        <f>VLOOKUP($B17&amp;"2",Data!$C:$G,4,FALSE)</f>
        <v>0.009900462962962963</v>
      </c>
      <c r="J17" s="15">
        <f>VLOOKUP($B17&amp;"2",Data!$C:$G,5,FALSE)</f>
        <v>4.2</v>
      </c>
      <c r="K17" s="16">
        <f t="shared" si="7"/>
        <v>0.002357253086419753</v>
      </c>
      <c r="M17" s="154">
        <f>VLOOKUP($B17&amp;"3",Data!$C:$G,2,FALSE)</f>
        <v>10</v>
      </c>
      <c r="N17" s="14">
        <f>VLOOKUP($B17&amp;"3",Data!$C:$G,4,FALSE)</f>
        <v>0.01050925925925926</v>
      </c>
      <c r="O17" s="15">
        <f>VLOOKUP($B17&amp;"3",Data!$C:$G,5,FALSE)</f>
        <v>4.45</v>
      </c>
      <c r="P17" s="16">
        <f t="shared" si="8"/>
        <v>0.002361631294215564</v>
      </c>
      <c r="R17" s="154">
        <f>VLOOKUP($B17&amp;"4",Data!$C:$G,2,FALSE)</f>
        <v>12</v>
      </c>
      <c r="S17" s="14">
        <f>VLOOKUP($B17&amp;"4",Data!$C:$G,4,FALSE)</f>
        <v>0.011226851851851854</v>
      </c>
      <c r="T17" s="15">
        <f>VLOOKUP($B17&amp;"4",Data!$C:$G,5,FALSE)</f>
        <v>4</v>
      </c>
      <c r="U17" s="16">
        <f t="shared" si="9"/>
        <v>0.0028067129629629635</v>
      </c>
      <c r="W17" s="162">
        <f t="shared" si="10"/>
        <v>15.65</v>
      </c>
      <c r="X17" s="16">
        <f t="shared" si="11"/>
        <v>0.0025017749378771744</v>
      </c>
      <c r="Z17" s="2">
        <f>RANK(X17,X13:X19,1)</f>
        <v>1</v>
      </c>
    </row>
    <row r="18" spans="1:26" ht="12.75">
      <c r="A18" s="5"/>
      <c r="B18" s="139" t="str">
        <f>+'Team Selection'!F8</f>
        <v>David Venour</v>
      </c>
      <c r="C18" s="154" t="str">
        <f>VLOOKUP($B18&amp;"1",Data!$C:$G,2,FALSE)</f>
        <v>1 #2</v>
      </c>
      <c r="D18" s="14">
        <f>VLOOKUP($B18&amp;"1",Data!$C:$G,4,FALSE)</f>
        <v>0.00769675925925926</v>
      </c>
      <c r="E18" s="15">
        <f>VLOOKUP($B18&amp;"1",Data!$C:$G,5,FALSE)</f>
        <v>3</v>
      </c>
      <c r="F18" s="16">
        <f t="shared" si="6"/>
        <v>0.002565586419753087</v>
      </c>
      <c r="H18" s="154">
        <f>VLOOKUP($B18&amp;"2",Data!$C:$G,2,FALSE)</f>
        <v>4</v>
      </c>
      <c r="I18" s="14">
        <f>VLOOKUP($B18&amp;"2",Data!$C:$G,4,FALSE)</f>
        <v>0.010277777777777778</v>
      </c>
      <c r="J18" s="15">
        <f>VLOOKUP($B18&amp;"2",Data!$C:$G,5,FALSE)</f>
        <v>4.2</v>
      </c>
      <c r="K18" s="16">
        <f t="shared" si="7"/>
        <v>0.002447089947089947</v>
      </c>
      <c r="M18" s="154">
        <f>VLOOKUP($B18&amp;"3",Data!$C:$G,2,FALSE)</f>
        <v>9</v>
      </c>
      <c r="N18" s="14">
        <f>VLOOKUP($B18&amp;"3",Data!$C:$G,4,FALSE)</f>
        <v>0.010324074074074074</v>
      </c>
      <c r="O18" s="15">
        <f>VLOOKUP($B18&amp;"3",Data!$C:$G,5,FALSE)</f>
        <v>3.6</v>
      </c>
      <c r="P18" s="16">
        <f t="shared" si="8"/>
        <v>0.002867798353909465</v>
      </c>
      <c r="R18" s="154">
        <f>VLOOKUP($B18&amp;"4",Data!$C:$G,2,FALSE)</f>
        <v>12</v>
      </c>
      <c r="S18" s="14">
        <f>VLOOKUP($B18&amp;"4",Data!$C:$G,4,FALSE)</f>
        <v>0.011226851851851854</v>
      </c>
      <c r="T18" s="15">
        <f>VLOOKUP($B18&amp;"4",Data!$C:$G,5,FALSE)</f>
        <v>4</v>
      </c>
      <c r="U18" s="16">
        <f t="shared" si="9"/>
        <v>0.0028067129629629635</v>
      </c>
      <c r="W18" s="162">
        <f t="shared" si="10"/>
        <v>14.8</v>
      </c>
      <c r="X18" s="16">
        <f t="shared" si="11"/>
        <v>0.00267063938938939</v>
      </c>
      <c r="Z18" s="2">
        <f>RANK(X18,X13:X19,1)</f>
        <v>7</v>
      </c>
    </row>
    <row r="19" spans="1:26" ht="12.75">
      <c r="A19" s="5"/>
      <c r="B19" s="139" t="str">
        <f>+'Team Selection'!F9</f>
        <v>Richard Does</v>
      </c>
      <c r="C19" s="155" t="str">
        <f>VLOOKUP($B19&amp;"1",Data!$C:$G,2,FALSE)</f>
        <v>1 #2</v>
      </c>
      <c r="D19" s="156">
        <f>VLOOKUP($B19&amp;"1",Data!$C:$G,4,FALSE)</f>
        <v>0.007638888888888889</v>
      </c>
      <c r="E19" s="157">
        <f>VLOOKUP($B19&amp;"1",Data!$C:$G,5,FALSE)</f>
        <v>3</v>
      </c>
      <c r="F19" s="158">
        <f t="shared" si="6"/>
        <v>0.002546296296296296</v>
      </c>
      <c r="H19" s="155">
        <f>VLOOKUP($B19&amp;"2",Data!$C:$G,2,FALSE)</f>
        <v>4</v>
      </c>
      <c r="I19" s="156">
        <f>VLOOKUP($B19&amp;"2",Data!$C:$G,4,FALSE)</f>
        <v>0.010034722222222221</v>
      </c>
      <c r="J19" s="157">
        <f>VLOOKUP($B19&amp;"2",Data!$C:$G,5,FALSE)</f>
        <v>4.2</v>
      </c>
      <c r="K19" s="158">
        <f t="shared" si="7"/>
        <v>0.0023892195767195763</v>
      </c>
      <c r="M19" s="155">
        <f>VLOOKUP($B19&amp;"3",Data!$C:$G,2,FALSE)</f>
        <v>12</v>
      </c>
      <c r="N19" s="156">
        <f>VLOOKUP($B19&amp;"3",Data!$C:$G,4,FALSE)</f>
        <v>0.011215277777777777</v>
      </c>
      <c r="O19" s="157">
        <f>VLOOKUP($B19&amp;"3",Data!$C:$G,5,FALSE)</f>
        <v>4</v>
      </c>
      <c r="P19" s="158">
        <f t="shared" si="8"/>
        <v>0.0028038194444444443</v>
      </c>
      <c r="R19" s="155">
        <f>VLOOKUP($B19&amp;"4",Data!$C:$G,2,FALSE)</f>
        <v>14</v>
      </c>
      <c r="S19" s="156">
        <f>VLOOKUP($B19&amp;"4",Data!$C:$G,4,FALSE)</f>
        <v>0.009039351851851852</v>
      </c>
      <c r="T19" s="157">
        <f>VLOOKUP($B19&amp;"4",Data!$C:$G,5,FALSE)</f>
        <v>3.7</v>
      </c>
      <c r="U19" s="158">
        <f t="shared" si="9"/>
        <v>0.002443068068068068</v>
      </c>
      <c r="W19" s="163">
        <f t="shared" si="10"/>
        <v>14.899999999999999</v>
      </c>
      <c r="X19" s="158">
        <f t="shared" si="11"/>
        <v>0.0025455195128013925</v>
      </c>
      <c r="Z19" s="2">
        <f>RANK(X19,X13:X19,1)</f>
        <v>3</v>
      </c>
    </row>
    <row r="20" spans="1:24" ht="12.75">
      <c r="A20" s="7"/>
      <c r="B20" s="8"/>
      <c r="C20" s="7"/>
      <c r="D20" s="14"/>
      <c r="E20" s="15"/>
      <c r="F20" s="14"/>
      <c r="G20" s="8"/>
      <c r="H20" s="7"/>
      <c r="I20" s="14"/>
      <c r="J20" s="15"/>
      <c r="K20" s="14"/>
      <c r="L20" s="8"/>
      <c r="M20" s="7"/>
      <c r="N20" s="14"/>
      <c r="O20" s="15"/>
      <c r="P20" s="14"/>
      <c r="Q20" s="8"/>
      <c r="R20" s="7"/>
      <c r="S20" s="14"/>
      <c r="T20" s="15"/>
      <c r="U20" s="14"/>
      <c r="X20" s="14"/>
    </row>
    <row r="21" spans="1:24" ht="12.75">
      <c r="A21" s="7"/>
      <c r="B21" s="8"/>
      <c r="C21" s="7"/>
      <c r="D21" s="14"/>
      <c r="E21" s="15"/>
      <c r="F21" s="14"/>
      <c r="G21" s="8"/>
      <c r="H21" s="7"/>
      <c r="I21" s="14"/>
      <c r="J21" s="15"/>
      <c r="K21" s="14"/>
      <c r="L21" s="8"/>
      <c r="M21" s="7"/>
      <c r="N21" s="14"/>
      <c r="O21" s="15"/>
      <c r="P21" s="14"/>
      <c r="Q21" s="8"/>
      <c r="R21" s="7"/>
      <c r="S21" s="14"/>
      <c r="T21" s="15"/>
      <c r="U21" s="14"/>
      <c r="W21" s="29" t="s">
        <v>39</v>
      </c>
      <c r="X21" s="28" t="s">
        <v>40</v>
      </c>
    </row>
    <row r="22" spans="1:24" ht="12.75">
      <c r="A22" s="10" t="s">
        <v>30</v>
      </c>
      <c r="B22" s="9"/>
      <c r="C22" s="13" t="s">
        <v>11</v>
      </c>
      <c r="D22" s="20" t="s">
        <v>7</v>
      </c>
      <c r="E22" s="22" t="s">
        <v>32</v>
      </c>
      <c r="F22" s="20" t="s">
        <v>8</v>
      </c>
      <c r="H22" s="13" t="s">
        <v>11</v>
      </c>
      <c r="I22" s="20" t="s">
        <v>7</v>
      </c>
      <c r="J22" s="22" t="s">
        <v>32</v>
      </c>
      <c r="K22" s="20" t="s">
        <v>8</v>
      </c>
      <c r="M22" s="13" t="s">
        <v>11</v>
      </c>
      <c r="N22" s="20" t="s">
        <v>7</v>
      </c>
      <c r="O22" s="22" t="s">
        <v>32</v>
      </c>
      <c r="P22" s="20" t="s">
        <v>8</v>
      </c>
      <c r="R22" s="13" t="s">
        <v>11</v>
      </c>
      <c r="S22" s="20" t="s">
        <v>7</v>
      </c>
      <c r="T22" s="22" t="s">
        <v>32</v>
      </c>
      <c r="U22" s="20" t="s">
        <v>8</v>
      </c>
      <c r="W22" s="25" t="s">
        <v>38</v>
      </c>
      <c r="X22" s="24" t="s">
        <v>8</v>
      </c>
    </row>
    <row r="23" spans="1:26" ht="12.75">
      <c r="A23" s="4"/>
      <c r="B23" s="139" t="str">
        <f>+'Team Selection'!H3</f>
        <v>Wayne Williams</v>
      </c>
      <c r="C23" s="150">
        <f>VLOOKUP($B23&amp;"1",Data!$C:$G,2,FALSE)</f>
        <v>3</v>
      </c>
      <c r="D23" s="151">
        <f>VLOOKUP($B23&amp;"1",Data!$C:$G,4,FALSE)</f>
        <v>0.010219907407407408</v>
      </c>
      <c r="E23" s="152">
        <f>VLOOKUP($B23&amp;"1",Data!$C:$G,5,FALSE)</f>
        <v>3.9</v>
      </c>
      <c r="F23" s="153">
        <f aca="true" t="shared" si="12" ref="F23:F29">+D23/E23</f>
        <v>0.0026204890788224123</v>
      </c>
      <c r="H23" s="150">
        <f>VLOOKUP($B23&amp;"2",Data!$C:$G,2,FALSE)</f>
        <v>7</v>
      </c>
      <c r="I23" s="151">
        <f>VLOOKUP($B23&amp;"2",Data!$C:$G,4,FALSE)</f>
        <v>0.009050925925925926</v>
      </c>
      <c r="J23" s="152">
        <f>VLOOKUP($B23&amp;"2",Data!$C:$G,5,FALSE)</f>
        <v>3.7</v>
      </c>
      <c r="K23" s="153">
        <f aca="true" t="shared" si="13" ref="K23:K29">+I23/J23</f>
        <v>0.002446196196196196</v>
      </c>
      <c r="M23" s="150" t="str">
        <f>VLOOKUP($B23&amp;"3",Data!$C:$G,2,FALSE)</f>
        <v>8 #1</v>
      </c>
      <c r="N23" s="151">
        <f>VLOOKUP($B23&amp;"3",Data!$C:$G,4,FALSE)</f>
        <v>0.007569444444444445</v>
      </c>
      <c r="O23" s="152">
        <f>VLOOKUP($B23&amp;"3",Data!$C:$G,5,FALSE)</f>
        <v>3</v>
      </c>
      <c r="P23" s="153">
        <f aca="true" t="shared" si="14" ref="P23:P29">+N23/O23</f>
        <v>0.002523148148148148</v>
      </c>
      <c r="R23" s="150">
        <f>VLOOKUP($B23&amp;"4",Data!$C:$G,2,FALSE)</f>
        <v>12</v>
      </c>
      <c r="S23" s="151">
        <f>VLOOKUP($B23&amp;"4",Data!$C:$G,4,FALSE)</f>
        <v>0.011504629629629629</v>
      </c>
      <c r="T23" s="152">
        <f>VLOOKUP($B23&amp;"4",Data!$C:$G,5,FALSE)</f>
        <v>4</v>
      </c>
      <c r="U23" s="153">
        <f aca="true" t="shared" si="15" ref="U23:U29">+S23/T23</f>
        <v>0.002876157407407407</v>
      </c>
      <c r="W23" s="161">
        <f>SUM(E23,J23,O23,T23)</f>
        <v>14.6</v>
      </c>
      <c r="X23" s="153">
        <f>SUM(D23,I23,N23,S23)/W23</f>
        <v>0.0026263635210553023</v>
      </c>
      <c r="Z23" s="2">
        <f>RANK(X23,X23:X29,1)</f>
        <v>4</v>
      </c>
    </row>
    <row r="24" spans="1:26" ht="12.75">
      <c r="A24" s="5"/>
      <c r="B24" s="139" t="str">
        <f>+'Team Selection'!H4</f>
        <v>Anthony Weiland</v>
      </c>
      <c r="C24" s="154">
        <f>VLOOKUP($B24&amp;"1",Data!$C:$G,2,FALSE)</f>
        <v>3</v>
      </c>
      <c r="D24" s="14">
        <f>VLOOKUP($B24&amp;"1",Data!$C:$G,4,FALSE)</f>
        <v>0.01005787037037037</v>
      </c>
      <c r="E24" s="15">
        <f>VLOOKUP($B24&amp;"1",Data!$C:$G,5,FALSE)</f>
        <v>3.9</v>
      </c>
      <c r="F24" s="16">
        <f t="shared" si="12"/>
        <v>0.002578941120607787</v>
      </c>
      <c r="H24" s="154">
        <f>VLOOKUP($B24&amp;"2",Data!$C:$G,2,FALSE)</f>
        <v>7</v>
      </c>
      <c r="I24" s="14">
        <f>VLOOKUP($B24&amp;"2",Data!$C:$G,4,FALSE)</f>
        <v>0.008900462962962962</v>
      </c>
      <c r="J24" s="15">
        <f>VLOOKUP($B24&amp;"2",Data!$C:$G,5,FALSE)</f>
        <v>3.7</v>
      </c>
      <c r="K24" s="16">
        <f t="shared" si="13"/>
        <v>0.0024055305305305304</v>
      </c>
      <c r="M24" s="154" t="str">
        <f>VLOOKUP($B24&amp;"3",Data!$C:$G,2,FALSE)</f>
        <v>8 #1</v>
      </c>
      <c r="N24" s="14">
        <f>VLOOKUP($B24&amp;"3",Data!$C:$G,4,FALSE)</f>
        <v>0.007361111111111111</v>
      </c>
      <c r="O24" s="15">
        <f>VLOOKUP($B24&amp;"3",Data!$C:$G,5,FALSE)</f>
        <v>3</v>
      </c>
      <c r="P24" s="16">
        <f t="shared" si="14"/>
        <v>0.0024537037037037036</v>
      </c>
      <c r="R24" s="154">
        <f>VLOOKUP($B24&amp;"4",Data!$C:$G,2,FALSE)</f>
        <v>12</v>
      </c>
      <c r="S24" s="14">
        <f>VLOOKUP($B24&amp;"4",Data!$C:$G,4,FALSE)</f>
        <v>0.011747685185185186</v>
      </c>
      <c r="T24" s="15">
        <f>VLOOKUP($B24&amp;"4",Data!$C:$G,5,FALSE)</f>
        <v>4</v>
      </c>
      <c r="U24" s="16">
        <f t="shared" si="15"/>
        <v>0.0029369212962962964</v>
      </c>
      <c r="W24" s="162">
        <f aca="true" t="shared" si="16" ref="W24:W29">SUM(E24,J24,O24,T24)</f>
        <v>14.6</v>
      </c>
      <c r="X24" s="16">
        <f aca="true" t="shared" si="17" ref="X24:X29">SUM(D24,I24,N24,S24)/W24</f>
        <v>0.0026073376458650432</v>
      </c>
      <c r="Z24" s="2">
        <f>RANK(X24,X23:X29,1)</f>
        <v>2</v>
      </c>
    </row>
    <row r="25" spans="1:26" ht="12.75">
      <c r="A25" s="5"/>
      <c r="B25" s="139" t="str">
        <f>+'Team Selection'!H5</f>
        <v>Charles Chambers</v>
      </c>
      <c r="C25" s="154">
        <f>VLOOKUP($B25&amp;"1",Data!$C:$G,2,FALSE)</f>
        <v>3</v>
      </c>
      <c r="D25" s="14">
        <f>VLOOKUP($B25&amp;"1",Data!$C:$G,4,FALSE)</f>
        <v>0.010555555555555554</v>
      </c>
      <c r="E25" s="15">
        <f>VLOOKUP($B25&amp;"1",Data!$C:$G,5,FALSE)</f>
        <v>3.9</v>
      </c>
      <c r="F25" s="16">
        <f t="shared" si="12"/>
        <v>0.002706552706552706</v>
      </c>
      <c r="H25" s="154">
        <f>VLOOKUP($B25&amp;"2",Data!$C:$G,2,FALSE)</f>
        <v>7</v>
      </c>
      <c r="I25" s="14">
        <f>VLOOKUP($B25&amp;"2",Data!$C:$G,4,FALSE)</f>
        <v>0.009444444444444445</v>
      </c>
      <c r="J25" s="15">
        <f>VLOOKUP($B25&amp;"2",Data!$C:$G,5,FALSE)</f>
        <v>3.7</v>
      </c>
      <c r="K25" s="16">
        <f t="shared" si="13"/>
        <v>0.0025525525525525524</v>
      </c>
      <c r="M25" s="154" t="str">
        <f>VLOOKUP($B25&amp;"3",Data!$C:$G,2,FALSE)</f>
        <v>8 #1</v>
      </c>
      <c r="N25" s="14">
        <f>VLOOKUP($B25&amp;"3",Data!$C:$G,4,FALSE)</f>
        <v>0.0078125</v>
      </c>
      <c r="O25" s="15">
        <f>VLOOKUP($B25&amp;"3",Data!$C:$G,5,FALSE)</f>
        <v>3</v>
      </c>
      <c r="P25" s="16">
        <f t="shared" si="14"/>
        <v>0.0026041666666666665</v>
      </c>
      <c r="R25" s="154">
        <f>VLOOKUP($B25&amp;"4",Data!$C:$G,2,FALSE)</f>
        <v>14</v>
      </c>
      <c r="S25" s="14">
        <f>VLOOKUP($B25&amp;"4",Data!$C:$G,4,FALSE)</f>
        <v>0.009525462962962963</v>
      </c>
      <c r="T25" s="15">
        <f>VLOOKUP($B25&amp;"4",Data!$C:$G,5,FALSE)</f>
        <v>3.7</v>
      </c>
      <c r="U25" s="16">
        <f t="shared" si="15"/>
        <v>0.0025744494494494494</v>
      </c>
      <c r="W25" s="162">
        <f t="shared" si="16"/>
        <v>14.3</v>
      </c>
      <c r="X25" s="16">
        <f t="shared" si="17"/>
        <v>0.002611046361046361</v>
      </c>
      <c r="Z25" s="2">
        <f>RANK(X25,X23:X29,1)</f>
        <v>3</v>
      </c>
    </row>
    <row r="26" spans="1:26" ht="12.75">
      <c r="A26" s="5"/>
      <c r="B26" s="139" t="str">
        <f>+'Team Selection'!H6</f>
        <v>Ian Dent</v>
      </c>
      <c r="C26" s="154">
        <f>VLOOKUP($B26&amp;"1",Data!$C:$G,2,FALSE)</f>
        <v>3</v>
      </c>
      <c r="D26" s="14">
        <f>VLOOKUP($B26&amp;"1",Data!$C:$G,4,FALSE)</f>
        <v>0.009942129629629629</v>
      </c>
      <c r="E26" s="15">
        <f>VLOOKUP($B26&amp;"1",Data!$C:$G,5,FALSE)</f>
        <v>3.9</v>
      </c>
      <c r="F26" s="16">
        <f t="shared" si="12"/>
        <v>0.0025492640075973406</v>
      </c>
      <c r="H26" s="154">
        <f>VLOOKUP($B26&amp;"2",Data!$C:$G,2,FALSE)</f>
        <v>7</v>
      </c>
      <c r="I26" s="14">
        <f>VLOOKUP($B26&amp;"2",Data!$C:$G,4,FALSE)</f>
        <v>0.008784722222222223</v>
      </c>
      <c r="J26" s="15">
        <f>VLOOKUP($B26&amp;"2",Data!$C:$G,5,FALSE)</f>
        <v>3.7</v>
      </c>
      <c r="K26" s="16">
        <f t="shared" si="13"/>
        <v>0.0023742492492492494</v>
      </c>
      <c r="M26" s="154" t="str">
        <f>VLOOKUP($B26&amp;"3",Data!$C:$G,2,FALSE)</f>
        <v>8 #1</v>
      </c>
      <c r="N26" s="14">
        <f>VLOOKUP($B26&amp;"3",Data!$C:$G,4,FALSE)</f>
        <v>0.007430555555555555</v>
      </c>
      <c r="O26" s="15">
        <f>VLOOKUP($B26&amp;"3",Data!$C:$G,5,FALSE)</f>
        <v>3</v>
      </c>
      <c r="P26" s="16">
        <f t="shared" si="14"/>
        <v>0.0024768518518518516</v>
      </c>
      <c r="R26" s="154">
        <f>VLOOKUP($B26&amp;"4",Data!$C:$G,2,FALSE)</f>
        <v>14</v>
      </c>
      <c r="S26" s="14">
        <f>VLOOKUP($B26&amp;"4",Data!$C:$G,4,FALSE)</f>
        <v>0.009421296296296296</v>
      </c>
      <c r="T26" s="15">
        <f>VLOOKUP($B26&amp;"4",Data!$C:$G,5,FALSE)</f>
        <v>3.7</v>
      </c>
      <c r="U26" s="16">
        <f t="shared" si="15"/>
        <v>0.002546296296296296</v>
      </c>
      <c r="W26" s="162">
        <f t="shared" si="16"/>
        <v>14.3</v>
      </c>
      <c r="X26" s="16">
        <f t="shared" si="17"/>
        <v>0.0024880212380212377</v>
      </c>
      <c r="Z26" s="2">
        <f>RANK(X26,X23:X29,1)</f>
        <v>1</v>
      </c>
    </row>
    <row r="27" spans="1:26" ht="12.75">
      <c r="A27" s="5"/>
      <c r="B27" s="139" t="str">
        <f>+'Team Selection'!H7</f>
        <v>Tony Dell</v>
      </c>
      <c r="C27" s="154">
        <f>VLOOKUP($B27&amp;"1",Data!$C:$G,2,FALSE)</f>
        <v>2</v>
      </c>
      <c r="D27" s="14">
        <f>VLOOKUP($B27&amp;"1",Data!$C:$G,4,FALSE)</f>
        <v>0.009726851851851851</v>
      </c>
      <c r="E27" s="15">
        <f>VLOOKUP($B27&amp;"1",Data!$C:$G,5,FALSE)</f>
        <v>3.6</v>
      </c>
      <c r="F27" s="16">
        <f t="shared" si="12"/>
        <v>0.0027019032921810696</v>
      </c>
      <c r="H27" s="154">
        <f>VLOOKUP($B27&amp;"2",Data!$C:$G,2,FALSE)</f>
        <v>6</v>
      </c>
      <c r="I27" s="14">
        <f>VLOOKUP($B27&amp;"2",Data!$C:$G,4,FALSE)</f>
        <v>0.010108796296296296</v>
      </c>
      <c r="J27" s="15">
        <f>VLOOKUP($B27&amp;"2",Data!$C:$G,5,FALSE)</f>
        <v>3.25</v>
      </c>
      <c r="K27" s="16">
        <f t="shared" si="13"/>
        <v>0.0031103988603988606</v>
      </c>
      <c r="M27" s="154" t="str">
        <f>VLOOKUP($B27&amp;"3",Data!$C:$G,2,FALSE)</f>
        <v>8 #1</v>
      </c>
      <c r="N27" s="14">
        <f>VLOOKUP($B27&amp;"3",Data!$C:$G,4,FALSE)</f>
        <v>0.008206018518518519</v>
      </c>
      <c r="O27" s="15">
        <f>VLOOKUP($B27&amp;"3",Data!$C:$G,5,FALSE)</f>
        <v>3</v>
      </c>
      <c r="P27" s="16">
        <f t="shared" si="14"/>
        <v>0.0027353395061728396</v>
      </c>
      <c r="R27" s="154">
        <f>VLOOKUP($B27&amp;"4",Data!$C:$G,2,FALSE)</f>
        <v>11</v>
      </c>
      <c r="S27" s="14">
        <f>VLOOKUP($B27&amp;"4",Data!$C:$G,4,FALSE)</f>
        <v>0.010185185185185184</v>
      </c>
      <c r="T27" s="15">
        <f>VLOOKUP($B27&amp;"4",Data!$C:$G,5,FALSE)</f>
        <v>4</v>
      </c>
      <c r="U27" s="16">
        <f t="shared" si="15"/>
        <v>0.002546296296296296</v>
      </c>
      <c r="W27" s="162">
        <f t="shared" si="16"/>
        <v>13.85</v>
      </c>
      <c r="X27" s="16">
        <f t="shared" si="17"/>
        <v>0.0027600615055488704</v>
      </c>
      <c r="Z27" s="2">
        <f>RANK(X27,X23:X29,1)</f>
        <v>7</v>
      </c>
    </row>
    <row r="28" spans="1:26" ht="12.75">
      <c r="A28" s="5"/>
      <c r="B28" s="139" t="str">
        <f>+'Team Selection'!H8</f>
        <v>Luke Goodman</v>
      </c>
      <c r="C28" s="154">
        <f>VLOOKUP($B28&amp;"1",Data!$C:$G,2,FALSE)</f>
        <v>3</v>
      </c>
      <c r="D28" s="14">
        <f>VLOOKUP($B28&amp;"1",Data!$C:$G,4,FALSE)</f>
        <v>0.010474537037037037</v>
      </c>
      <c r="E28" s="15">
        <f>VLOOKUP($B28&amp;"1",Data!$C:$G,5,FALSE)</f>
        <v>3.9</v>
      </c>
      <c r="F28" s="16">
        <f t="shared" si="12"/>
        <v>0.002685778727445394</v>
      </c>
      <c r="H28" s="154">
        <f>VLOOKUP($B28&amp;"2",Data!$C:$G,2,FALSE)</f>
        <v>7</v>
      </c>
      <c r="I28" s="14">
        <f>VLOOKUP($B28&amp;"2",Data!$C:$G,4,FALSE)</f>
        <v>0.009432870370370371</v>
      </c>
      <c r="J28" s="15">
        <f>VLOOKUP($B28&amp;"2",Data!$C:$G,5,FALSE)</f>
        <v>3.7</v>
      </c>
      <c r="K28" s="16">
        <f t="shared" si="13"/>
        <v>0.0025494244244244246</v>
      </c>
      <c r="M28" s="154" t="str">
        <f>VLOOKUP($B28&amp;"3",Data!$C:$G,2,FALSE)</f>
        <v>8 #1</v>
      </c>
      <c r="N28" s="14">
        <f>VLOOKUP($B28&amp;"3",Data!$C:$G,4,FALSE)</f>
        <v>0.008101851851851851</v>
      </c>
      <c r="O28" s="15">
        <f>VLOOKUP($B28&amp;"3",Data!$C:$G,5,FALSE)</f>
        <v>3</v>
      </c>
      <c r="P28" s="16">
        <f t="shared" si="14"/>
        <v>0.002700617283950617</v>
      </c>
      <c r="R28" s="154">
        <f>VLOOKUP($B28&amp;"4",Data!$C:$G,2,FALSE)</f>
        <v>11</v>
      </c>
      <c r="S28" s="14">
        <f>VLOOKUP($B28&amp;"4",Data!$C:$G,4,FALSE)</f>
        <v>0.010405092592592593</v>
      </c>
      <c r="T28" s="15">
        <f>VLOOKUP($B28&amp;"4",Data!$C:$G,5,FALSE)</f>
        <v>4</v>
      </c>
      <c r="U28" s="16">
        <f t="shared" si="15"/>
        <v>0.002601273148148148</v>
      </c>
      <c r="W28" s="162">
        <f t="shared" si="16"/>
        <v>14.6</v>
      </c>
      <c r="X28" s="16">
        <f t="shared" si="17"/>
        <v>0.0026311199898528667</v>
      </c>
      <c r="Z28" s="2">
        <f>RANK(X28,X23:X29,1)</f>
        <v>5</v>
      </c>
    </row>
    <row r="29" spans="1:26" ht="12.75">
      <c r="A29" s="6"/>
      <c r="B29" s="139" t="str">
        <f>+'Team Selection'!H9</f>
        <v>Juanita Liston</v>
      </c>
      <c r="C29" s="155">
        <f>VLOOKUP($B29&amp;"1",Data!$C:$G,2,FALSE)</f>
        <v>3</v>
      </c>
      <c r="D29" s="156">
        <f>VLOOKUP($B29&amp;"1",Data!$C:$G,4,FALSE)</f>
        <v>0.01082175925925926</v>
      </c>
      <c r="E29" s="157">
        <f>VLOOKUP($B29&amp;"1",Data!$C:$G,5,FALSE)</f>
        <v>3.9</v>
      </c>
      <c r="F29" s="158">
        <f t="shared" si="12"/>
        <v>0.0027748100664767334</v>
      </c>
      <c r="H29" s="155">
        <f>VLOOKUP($B29&amp;"2",Data!$C:$G,2,FALSE)</f>
        <v>7</v>
      </c>
      <c r="I29" s="156">
        <f>VLOOKUP($B29&amp;"2",Data!$C:$G,4,FALSE)</f>
        <v>0.009351851851851853</v>
      </c>
      <c r="J29" s="157">
        <f>VLOOKUP($B29&amp;"2",Data!$C:$G,5,FALSE)</f>
        <v>3.7</v>
      </c>
      <c r="K29" s="158">
        <f t="shared" si="13"/>
        <v>0.0025275275275275276</v>
      </c>
      <c r="M29" s="155" t="str">
        <f>VLOOKUP($B29&amp;"3",Data!$C:$G,2,FALSE)</f>
        <v>8 #1</v>
      </c>
      <c r="N29" s="156">
        <f>VLOOKUP($B29&amp;"3",Data!$C:$G,4,FALSE)</f>
        <v>0.007881944444444443</v>
      </c>
      <c r="O29" s="157">
        <f>VLOOKUP($B29&amp;"3",Data!$C:$G,5,FALSE)</f>
        <v>3</v>
      </c>
      <c r="P29" s="158">
        <f t="shared" si="14"/>
        <v>0.0026273148148148145</v>
      </c>
      <c r="R29" s="155">
        <f>VLOOKUP($B29&amp;"4",Data!$C:$G,2,FALSE)</f>
        <v>10</v>
      </c>
      <c r="S29" s="156">
        <f>VLOOKUP($B29&amp;"4",Data!$C:$G,4,FALSE)</f>
        <v>0.012291666666666666</v>
      </c>
      <c r="T29" s="157">
        <f>VLOOKUP($B29&amp;"4",Data!$C:$G,5,FALSE)</f>
        <v>4.45</v>
      </c>
      <c r="U29" s="158">
        <f t="shared" si="15"/>
        <v>0.0027621722846441943</v>
      </c>
      <c r="W29" s="163">
        <f t="shared" si="16"/>
        <v>15.05</v>
      </c>
      <c r="X29" s="158">
        <f t="shared" si="17"/>
        <v>0.002680878552971576</v>
      </c>
      <c r="Z29" s="2">
        <f>RANK(X29,X23:X29,1)</f>
        <v>6</v>
      </c>
    </row>
    <row r="30" spans="1:24" ht="12.75">
      <c r="A30" s="7"/>
      <c r="B30" s="8"/>
      <c r="C30" s="7"/>
      <c r="D30" s="14"/>
      <c r="E30" s="15"/>
      <c r="F30" s="14"/>
      <c r="G30" s="8"/>
      <c r="H30" s="7"/>
      <c r="I30" s="14"/>
      <c r="J30" s="15"/>
      <c r="K30" s="14"/>
      <c r="L30" s="8"/>
      <c r="M30" s="7"/>
      <c r="N30" s="14"/>
      <c r="O30" s="15"/>
      <c r="P30" s="14"/>
      <c r="Q30" s="8"/>
      <c r="R30" s="7"/>
      <c r="S30" s="14"/>
      <c r="T30" s="15"/>
      <c r="U30" s="14"/>
      <c r="V30" s="8"/>
      <c r="X30" s="14"/>
    </row>
    <row r="31" spans="1:24" ht="12.75">
      <c r="A31" s="7"/>
      <c r="B31" s="8"/>
      <c r="C31" s="7"/>
      <c r="D31" s="14"/>
      <c r="E31" s="15"/>
      <c r="F31" s="14"/>
      <c r="G31" s="8"/>
      <c r="H31" s="7"/>
      <c r="I31" s="14"/>
      <c r="J31" s="15"/>
      <c r="K31" s="14"/>
      <c r="L31" s="8"/>
      <c r="M31" s="7"/>
      <c r="N31" s="14"/>
      <c r="O31" s="15"/>
      <c r="P31" s="14"/>
      <c r="Q31" s="8"/>
      <c r="R31" s="7"/>
      <c r="S31" s="14"/>
      <c r="T31" s="15"/>
      <c r="U31" s="14"/>
      <c r="V31" s="8"/>
      <c r="W31" s="29" t="s">
        <v>39</v>
      </c>
      <c r="X31" s="28" t="s">
        <v>40</v>
      </c>
    </row>
    <row r="32" spans="1:24" ht="12.75">
      <c r="A32" s="10"/>
      <c r="B32" s="140" t="s">
        <v>31</v>
      </c>
      <c r="C32" s="13" t="s">
        <v>11</v>
      </c>
      <c r="D32" s="20" t="s">
        <v>7</v>
      </c>
      <c r="E32" s="22" t="s">
        <v>32</v>
      </c>
      <c r="F32" s="20" t="s">
        <v>8</v>
      </c>
      <c r="H32" s="13" t="s">
        <v>11</v>
      </c>
      <c r="I32" s="20" t="s">
        <v>7</v>
      </c>
      <c r="J32" s="22" t="s">
        <v>32</v>
      </c>
      <c r="K32" s="20" t="s">
        <v>8</v>
      </c>
      <c r="M32" s="13" t="s">
        <v>11</v>
      </c>
      <c r="N32" s="20" t="s">
        <v>7</v>
      </c>
      <c r="O32" s="22" t="s">
        <v>32</v>
      </c>
      <c r="P32" s="20" t="s">
        <v>8</v>
      </c>
      <c r="R32" s="13" t="s">
        <v>11</v>
      </c>
      <c r="S32" s="20" t="s">
        <v>7</v>
      </c>
      <c r="T32" s="22" t="s">
        <v>32</v>
      </c>
      <c r="U32" s="20" t="s">
        <v>8</v>
      </c>
      <c r="W32" s="25" t="s">
        <v>38</v>
      </c>
      <c r="X32" s="24" t="s">
        <v>8</v>
      </c>
    </row>
    <row r="33" spans="1:26" ht="12.75">
      <c r="A33" s="4"/>
      <c r="B33" s="139" t="str">
        <f>+'Team Selection'!J3</f>
        <v>Scott Bales</v>
      </c>
      <c r="C33" s="150">
        <f>VLOOKUP($B33&amp;"1",Data!$C:$G,2,FALSE)</f>
        <v>2</v>
      </c>
      <c r="D33" s="151">
        <f>VLOOKUP($B33&amp;"1",Data!$C:$G,4,FALSE)</f>
        <v>0.010497685185185186</v>
      </c>
      <c r="E33" s="152">
        <f>VLOOKUP($B33&amp;"1",Data!$C:$G,5,FALSE)</f>
        <v>3.6</v>
      </c>
      <c r="F33" s="153">
        <f aca="true" t="shared" si="18" ref="F33:F39">+D33/E33</f>
        <v>0.0029160236625514406</v>
      </c>
      <c r="H33" s="150">
        <f>VLOOKUP($B33&amp;"2",Data!$C:$G,2,FALSE)</f>
        <v>6</v>
      </c>
      <c r="I33" s="151">
        <f>VLOOKUP($B33&amp;"2",Data!$C:$G,4,FALSE)</f>
        <v>0.010787037037037038</v>
      </c>
      <c r="J33" s="152">
        <f>VLOOKUP($B33&amp;"2",Data!$C:$G,5,FALSE)</f>
        <v>3.25</v>
      </c>
      <c r="K33" s="153">
        <f aca="true" t="shared" si="19" ref="K33:K39">+I33/J33</f>
        <v>0.003319088319088319</v>
      </c>
      <c r="M33" s="150" t="str">
        <f>VLOOKUP($B33&amp;"3",Data!$C:$G,2,FALSE)</f>
        <v>8 #2</v>
      </c>
      <c r="N33" s="151">
        <f>VLOOKUP($B33&amp;"3",Data!$C:$G,4,FALSE)</f>
        <v>0.008912037037037038</v>
      </c>
      <c r="O33" s="152">
        <f>VLOOKUP($B33&amp;"3",Data!$C:$G,5,FALSE)</f>
        <v>3</v>
      </c>
      <c r="P33" s="153">
        <f aca="true" t="shared" si="20" ref="P33:P39">+N33/O33</f>
        <v>0.002970679012345679</v>
      </c>
      <c r="R33" s="150">
        <f>VLOOKUP($B33&amp;"4",Data!$C:$G,2,FALSE)</f>
        <v>11</v>
      </c>
      <c r="S33" s="151">
        <f>VLOOKUP($B33&amp;"4",Data!$C:$G,4,FALSE)</f>
        <v>0.010590277777777777</v>
      </c>
      <c r="T33" s="152">
        <f>VLOOKUP($B33&amp;"4",Data!$C:$G,5,FALSE)</f>
        <v>4</v>
      </c>
      <c r="U33" s="153">
        <f aca="true" t="shared" si="21" ref="U33:U39">+S33/T33</f>
        <v>0.002647569444444444</v>
      </c>
      <c r="W33" s="161">
        <f>SUM(E33,J33,O33,T33)</f>
        <v>13.85</v>
      </c>
      <c r="X33" s="153">
        <f>SUM(D33,I33,N33,S33)/W33</f>
        <v>0.002944912421446718</v>
      </c>
      <c r="Z33" s="2">
        <f>RANK(X33,X33:X39,1)</f>
        <v>5</v>
      </c>
    </row>
    <row r="34" spans="1:26" ht="12.75">
      <c r="A34" s="5"/>
      <c r="B34" s="139" t="str">
        <f>+'Team Selection'!J4</f>
        <v>Jim Grelis</v>
      </c>
      <c r="C34" s="154">
        <f>VLOOKUP($B34&amp;"1",Data!$C:$G,2,FALSE)</f>
        <v>2</v>
      </c>
      <c r="D34" s="14">
        <f>VLOOKUP($B34&amp;"1",Data!$C:$G,4,FALSE)</f>
        <v>0.010810185185185185</v>
      </c>
      <c r="E34" s="15">
        <f>VLOOKUP($B34&amp;"1",Data!$C:$G,5,FALSE)</f>
        <v>3.6</v>
      </c>
      <c r="F34" s="16">
        <f t="shared" si="18"/>
        <v>0.003002829218106996</v>
      </c>
      <c r="H34" s="154">
        <f>VLOOKUP($B34&amp;"2",Data!$C:$G,2,FALSE)</f>
        <v>6</v>
      </c>
      <c r="I34" s="14">
        <f>VLOOKUP($B34&amp;"2",Data!$C:$G,4,FALSE)</f>
        <v>0.011666666666666667</v>
      </c>
      <c r="J34" s="15">
        <f>VLOOKUP($B34&amp;"2",Data!$C:$G,5,FALSE)</f>
        <v>3.25</v>
      </c>
      <c r="K34" s="16">
        <f t="shared" si="19"/>
        <v>0.0035897435897435897</v>
      </c>
      <c r="M34" s="154" t="str">
        <f>VLOOKUP($B34&amp;"3",Data!$C:$G,2,FALSE)</f>
        <v>8 #2</v>
      </c>
      <c r="N34" s="14">
        <f>VLOOKUP($B34&amp;"3",Data!$C:$G,4,FALSE)</f>
        <v>0.009537037037037037</v>
      </c>
      <c r="O34" s="15">
        <f>VLOOKUP($B34&amp;"3",Data!$C:$G,5,FALSE)</f>
        <v>3</v>
      </c>
      <c r="P34" s="16">
        <f t="shared" si="20"/>
        <v>0.003179012345679012</v>
      </c>
      <c r="R34" s="154">
        <f>VLOOKUP($B34&amp;"4",Data!$C:$G,2,FALSE)</f>
        <v>14</v>
      </c>
      <c r="S34" s="14">
        <f>VLOOKUP($B34&amp;"4",Data!$C:$G,4,FALSE)</f>
        <v>0.012025462962962962</v>
      </c>
      <c r="T34" s="15">
        <f>VLOOKUP($B34&amp;"4",Data!$C:$G,5,FALSE)</f>
        <v>3.7</v>
      </c>
      <c r="U34" s="16">
        <f t="shared" si="21"/>
        <v>0.0032501251251251246</v>
      </c>
      <c r="W34" s="162">
        <f aca="true" t="shared" si="22" ref="W34:W39">SUM(E34,J34,O34,T34)</f>
        <v>13.55</v>
      </c>
      <c r="X34" s="16">
        <f aca="true" t="shared" si="23" ref="X34:X39">SUM(D34,I34,N34,S34)/W34</f>
        <v>0.0032501366680333468</v>
      </c>
      <c r="Z34" s="2">
        <f>RANK(X34,X33:X39,1)</f>
        <v>6</v>
      </c>
    </row>
    <row r="35" spans="1:26" ht="12.75">
      <c r="A35" s="5"/>
      <c r="B35" s="139" t="str">
        <f>+'Team Selection'!J5</f>
        <v>Matt Lowth</v>
      </c>
      <c r="C35" s="154">
        <f>VLOOKUP($B35&amp;"1",Data!$C:$G,2,FALSE)</f>
        <v>2</v>
      </c>
      <c r="D35" s="14">
        <f>VLOOKUP($B35&amp;"1",Data!$C:$G,4,FALSE)</f>
        <v>0.011458333333333334</v>
      </c>
      <c r="E35" s="15">
        <f>VLOOKUP($B35&amp;"1",Data!$C:$G,5,FALSE)</f>
        <v>3.6</v>
      </c>
      <c r="F35" s="16">
        <f t="shared" si="18"/>
        <v>0.0031828703703703706</v>
      </c>
      <c r="H35" s="154">
        <f>VLOOKUP($B35&amp;"2",Data!$C:$G,2,FALSE)</f>
        <v>6</v>
      </c>
      <c r="I35" s="14">
        <f>VLOOKUP($B35&amp;"2",Data!$C:$G,4,FALSE)</f>
        <v>0.011979166666666666</v>
      </c>
      <c r="J35" s="15">
        <f>VLOOKUP($B35&amp;"2",Data!$C:$G,5,FALSE)</f>
        <v>3.25</v>
      </c>
      <c r="K35" s="16">
        <f t="shared" si="19"/>
        <v>0.003685897435897436</v>
      </c>
      <c r="M35" s="154" t="str">
        <f>VLOOKUP($B35&amp;"3",Data!$C:$G,2,FALSE)</f>
        <v>8 #2</v>
      </c>
      <c r="N35" s="14">
        <f>VLOOKUP($B35&amp;"3",Data!$C:$G,4,FALSE)</f>
        <v>0.009791666666666666</v>
      </c>
      <c r="O35" s="15">
        <f>VLOOKUP($B35&amp;"3",Data!$C:$G,5,FALSE)</f>
        <v>3</v>
      </c>
      <c r="P35" s="16">
        <f t="shared" si="20"/>
        <v>0.0032638888888888887</v>
      </c>
      <c r="R35" s="154">
        <f>VLOOKUP($B35&amp;"4",Data!$C:$G,2,FALSE)</f>
        <v>11</v>
      </c>
      <c r="S35" s="14">
        <f>VLOOKUP($B35&amp;"4",Data!$C:$G,4,FALSE)</f>
        <v>0.011840277777777778</v>
      </c>
      <c r="T35" s="15">
        <f>VLOOKUP($B35&amp;"4",Data!$C:$G,5,FALSE)</f>
        <v>4</v>
      </c>
      <c r="U35" s="16">
        <f t="shared" si="21"/>
        <v>0.0029600694444444444</v>
      </c>
      <c r="W35" s="162">
        <f t="shared" si="22"/>
        <v>13.85</v>
      </c>
      <c r="X35" s="16">
        <f t="shared" si="23"/>
        <v>0.0032541115122342555</v>
      </c>
      <c r="Z35" s="2">
        <f>RANK(X35,X33:X39,1)</f>
        <v>7</v>
      </c>
    </row>
    <row r="36" spans="1:26" ht="12.75">
      <c r="A36" s="5"/>
      <c r="B36" s="139" t="str">
        <f>+'Team Selection'!J6</f>
        <v>Craig Harris</v>
      </c>
      <c r="C36" s="154">
        <f>VLOOKUP($B36&amp;"1",Data!$C:$G,2,FALSE)</f>
        <v>2</v>
      </c>
      <c r="D36" s="14">
        <f>VLOOKUP($B36&amp;"1",Data!$C:$G,4,FALSE)</f>
        <v>0.009988425925925927</v>
      </c>
      <c r="E36" s="15">
        <f>VLOOKUP($B36&amp;"1",Data!$C:$G,5,FALSE)</f>
        <v>3.6</v>
      </c>
      <c r="F36" s="16">
        <f t="shared" si="18"/>
        <v>0.0027745627572016464</v>
      </c>
      <c r="H36" s="154">
        <f>VLOOKUP($B36&amp;"2",Data!$C:$G,2,FALSE)</f>
        <v>6</v>
      </c>
      <c r="I36" s="14">
        <f>VLOOKUP($B36&amp;"2",Data!$C:$G,4,FALSE)</f>
        <v>0.010335648148148148</v>
      </c>
      <c r="J36" s="15">
        <f>VLOOKUP($B36&amp;"2",Data!$C:$G,5,FALSE)</f>
        <v>3.25</v>
      </c>
      <c r="K36" s="16">
        <f t="shared" si="19"/>
        <v>0.00318019943019943</v>
      </c>
      <c r="M36" s="154" t="str">
        <f>VLOOKUP($B36&amp;"3",Data!$C:$G,2,FALSE)</f>
        <v>8 #2</v>
      </c>
      <c r="N36" s="14">
        <f>VLOOKUP($B36&amp;"3",Data!$C:$G,4,FALSE)</f>
        <v>0.008414351851851852</v>
      </c>
      <c r="O36" s="15">
        <f>VLOOKUP($B36&amp;"3",Data!$C:$G,5,FALSE)</f>
        <v>3</v>
      </c>
      <c r="P36" s="16">
        <f t="shared" si="20"/>
        <v>0.002804783950617284</v>
      </c>
      <c r="R36" s="154">
        <f>VLOOKUP($B36&amp;"4",Data!$C:$G,2,FALSE)</f>
        <v>11</v>
      </c>
      <c r="S36" s="14">
        <f>VLOOKUP($B36&amp;"4",Data!$C:$G,4,FALSE)</f>
        <v>0.010729166666666666</v>
      </c>
      <c r="T36" s="15">
        <f>VLOOKUP($B36&amp;"4",Data!$C:$G,5,FALSE)</f>
        <v>4</v>
      </c>
      <c r="U36" s="16">
        <f t="shared" si="21"/>
        <v>0.0026822916666666666</v>
      </c>
      <c r="W36" s="162">
        <f t="shared" si="22"/>
        <v>13.85</v>
      </c>
      <c r="X36" s="16">
        <f t="shared" si="23"/>
        <v>0.0028496456745554215</v>
      </c>
      <c r="Z36" s="2">
        <f>RANK(X36,X33:X39,1)</f>
        <v>3</v>
      </c>
    </row>
    <row r="37" spans="1:26" ht="12.75">
      <c r="A37" s="5"/>
      <c r="B37" s="139" t="str">
        <f>+'Team Selection'!J7</f>
        <v>Kirsten Jackson</v>
      </c>
      <c r="C37" s="154">
        <f>VLOOKUP($B37&amp;"1",Data!$C:$G,2,FALSE)</f>
        <v>3</v>
      </c>
      <c r="D37" s="14">
        <f>VLOOKUP($B37&amp;"1",Data!$C:$G,4,FALSE)</f>
        <v>0.01119675925925926</v>
      </c>
      <c r="E37" s="15">
        <f>VLOOKUP($B37&amp;"1",Data!$C:$G,5,FALSE)</f>
        <v>3.9</v>
      </c>
      <c r="F37" s="16">
        <f t="shared" si="18"/>
        <v>0.00287096391263058</v>
      </c>
      <c r="H37" s="154">
        <f>VLOOKUP($B37&amp;"2",Data!$C:$G,2,FALSE)</f>
        <v>7</v>
      </c>
      <c r="I37" s="14">
        <f>VLOOKUP($B37&amp;"2",Data!$C:$G,4,FALSE)</f>
        <v>0.010155092592592592</v>
      </c>
      <c r="J37" s="15">
        <f>VLOOKUP($B37&amp;"2",Data!$C:$G,5,FALSE)</f>
        <v>3.7</v>
      </c>
      <c r="K37" s="16">
        <f t="shared" si="19"/>
        <v>0.0027446196196196193</v>
      </c>
      <c r="M37" s="154" t="str">
        <f>VLOOKUP($B37&amp;"3",Data!$C:$G,2,FALSE)</f>
        <v>8 #2</v>
      </c>
      <c r="N37" s="14">
        <f>VLOOKUP($B37&amp;"3",Data!$C:$G,4,FALSE)</f>
        <v>0.00849537037037037</v>
      </c>
      <c r="O37" s="15">
        <f>VLOOKUP($B37&amp;"3",Data!$C:$G,5,FALSE)</f>
        <v>3</v>
      </c>
      <c r="P37" s="16">
        <f t="shared" si="20"/>
        <v>0.00283179012345679</v>
      </c>
      <c r="R37" s="154">
        <f>VLOOKUP($B37&amp;"4",Data!$C:$G,2,FALSE)</f>
        <v>14</v>
      </c>
      <c r="S37" s="14">
        <f>VLOOKUP($B37&amp;"4",Data!$C:$G,4,FALSE)</f>
        <v>0.01087962962962963</v>
      </c>
      <c r="T37" s="15">
        <f>VLOOKUP($B37&amp;"4",Data!$C:$G,5,FALSE)</f>
        <v>3.7</v>
      </c>
      <c r="U37" s="16">
        <f t="shared" si="21"/>
        <v>0.0029404404404404405</v>
      </c>
      <c r="W37" s="162">
        <f t="shared" si="22"/>
        <v>14.3</v>
      </c>
      <c r="X37" s="16">
        <f t="shared" si="23"/>
        <v>0.0028480315980315978</v>
      </c>
      <c r="Z37" s="2">
        <f>RANK(X37,X33:X39,1)</f>
        <v>2</v>
      </c>
    </row>
    <row r="38" spans="1:26" ht="12.75">
      <c r="A38" s="5"/>
      <c r="B38" s="139" t="str">
        <f>+'Team Selection'!J8</f>
        <v>Thai Phan</v>
      </c>
      <c r="C38" s="154">
        <f>VLOOKUP($B38&amp;"1",Data!$C:$G,2,FALSE)</f>
        <v>2</v>
      </c>
      <c r="D38" s="14">
        <f>VLOOKUP($B38&amp;"1",Data!$C:$G,4,FALSE)</f>
        <v>0.009814814814814814</v>
      </c>
      <c r="E38" s="15">
        <f>VLOOKUP($B38&amp;"1",Data!$C:$G,5,FALSE)</f>
        <v>3.6</v>
      </c>
      <c r="F38" s="16">
        <f t="shared" si="18"/>
        <v>0.0027263374485596704</v>
      </c>
      <c r="H38" s="154">
        <f>VLOOKUP($B38&amp;"2",Data!$C:$G,2,FALSE)</f>
        <v>6</v>
      </c>
      <c r="I38" s="14">
        <f>VLOOKUP($B38&amp;"2",Data!$C:$G,4,FALSE)</f>
        <v>0.010300925925925927</v>
      </c>
      <c r="J38" s="15">
        <f>VLOOKUP($B38&amp;"2",Data!$C:$G,5,FALSE)</f>
        <v>3.25</v>
      </c>
      <c r="K38" s="16">
        <f t="shared" si="19"/>
        <v>0.00316951566951567</v>
      </c>
      <c r="M38" s="154" t="str">
        <f>VLOOKUP($B38&amp;"3",Data!$C:$G,2,FALSE)</f>
        <v>8 #2</v>
      </c>
      <c r="N38" s="14">
        <f>VLOOKUP($B38&amp;"3",Data!$C:$G,4,FALSE)</f>
        <v>0.008506944444444444</v>
      </c>
      <c r="O38" s="15">
        <f>VLOOKUP($B38&amp;"3",Data!$C:$G,5,FALSE)</f>
        <v>3</v>
      </c>
      <c r="P38" s="16">
        <f t="shared" si="20"/>
        <v>0.002835648148148148</v>
      </c>
      <c r="R38" s="154">
        <f>VLOOKUP($B38&amp;"4",Data!$C:$G,2,FALSE)</f>
        <v>14</v>
      </c>
      <c r="S38" s="14">
        <f>VLOOKUP($B38&amp;"4",Data!$C:$G,4,FALSE)</f>
        <v>0.010231481481481482</v>
      </c>
      <c r="T38" s="15">
        <f>VLOOKUP($B38&amp;"4",Data!$C:$G,5,FALSE)</f>
        <v>3.7</v>
      </c>
      <c r="U38" s="16">
        <f t="shared" si="21"/>
        <v>0.0027652652652652653</v>
      </c>
      <c r="W38" s="162">
        <f t="shared" si="22"/>
        <v>13.55</v>
      </c>
      <c r="X38" s="16">
        <f t="shared" si="23"/>
        <v>0.002867466174661746</v>
      </c>
      <c r="Z38" s="2">
        <f>RANK(X38,X33:X39,1)</f>
        <v>4</v>
      </c>
    </row>
    <row r="39" spans="1:26" ht="12.75">
      <c r="A39" s="6"/>
      <c r="B39" s="139" t="str">
        <f>+'Team Selection'!J9</f>
        <v>Gary O'Dwyer</v>
      </c>
      <c r="C39" s="155">
        <f>VLOOKUP($B39&amp;"1",Data!$C:$G,2,FALSE)</f>
        <v>2</v>
      </c>
      <c r="D39" s="156">
        <f>VLOOKUP($B39&amp;"1",Data!$C:$G,4,FALSE)</f>
        <v>0.009780092592592592</v>
      </c>
      <c r="E39" s="157">
        <f>VLOOKUP($B39&amp;"1",Data!$C:$G,5,FALSE)</f>
        <v>3.6</v>
      </c>
      <c r="F39" s="158">
        <f t="shared" si="18"/>
        <v>0.0027166923868312755</v>
      </c>
      <c r="H39" s="155">
        <f>VLOOKUP($B39&amp;"2",Data!$C:$G,2,FALSE)</f>
        <v>6</v>
      </c>
      <c r="I39" s="156">
        <f>VLOOKUP($B39&amp;"2",Data!$C:$G,4,FALSE)</f>
        <v>0.010324074074074074</v>
      </c>
      <c r="J39" s="157">
        <f>VLOOKUP($B39&amp;"2",Data!$C:$G,5,FALSE)</f>
        <v>3.25</v>
      </c>
      <c r="K39" s="158">
        <f t="shared" si="19"/>
        <v>0.0031766381766381766</v>
      </c>
      <c r="M39" s="155" t="str">
        <f>VLOOKUP($B39&amp;"3",Data!$C:$G,2,FALSE)</f>
        <v>8 #2</v>
      </c>
      <c r="N39" s="156">
        <f>VLOOKUP($B39&amp;"3",Data!$C:$G,4,FALSE)</f>
        <v>0.008206018518518519</v>
      </c>
      <c r="O39" s="157">
        <f>VLOOKUP($B39&amp;"3",Data!$C:$G,5,FALSE)</f>
        <v>3</v>
      </c>
      <c r="P39" s="158">
        <f t="shared" si="20"/>
        <v>0.0027353395061728396</v>
      </c>
      <c r="R39" s="155">
        <f>VLOOKUP($B39&amp;"4",Data!$C:$G,2,FALSE)</f>
        <v>11</v>
      </c>
      <c r="S39" s="156">
        <f>VLOOKUP($B39&amp;"4",Data!$C:$G,4,FALSE)</f>
        <v>0.009768518518518518</v>
      </c>
      <c r="T39" s="157">
        <f>VLOOKUP($B39&amp;"4",Data!$C:$G,5,FALSE)</f>
        <v>4</v>
      </c>
      <c r="U39" s="158">
        <f t="shared" si="21"/>
        <v>0.0024421296296296296</v>
      </c>
      <c r="W39" s="163">
        <f t="shared" si="22"/>
        <v>13.85</v>
      </c>
      <c r="X39" s="158">
        <f t="shared" si="23"/>
        <v>0.002749364888354058</v>
      </c>
      <c r="Z39" s="2">
        <f>RANK(X39,X33:X39,1)</f>
        <v>1</v>
      </c>
    </row>
    <row r="40" spans="3:24" ht="12.75">
      <c r="C40" s="7"/>
      <c r="D40" s="14"/>
      <c r="E40" s="15"/>
      <c r="F40" s="14"/>
      <c r="G40" s="8"/>
      <c r="H40" s="7"/>
      <c r="I40" s="14"/>
      <c r="J40" s="15"/>
      <c r="K40" s="14"/>
      <c r="L40" s="8"/>
      <c r="M40" s="7"/>
      <c r="N40" s="14"/>
      <c r="O40" s="15"/>
      <c r="P40" s="14"/>
      <c r="Q40" s="8"/>
      <c r="R40" s="7"/>
      <c r="S40" s="14"/>
      <c r="T40" s="15"/>
      <c r="U40" s="14"/>
      <c r="X40" s="14"/>
    </row>
  </sheetData>
  <printOptions/>
  <pageMargins left="0.44" right="0.59" top="1.0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3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17" customWidth="1"/>
    <col min="2" max="2" width="9.140625" style="17" customWidth="1"/>
    <col min="3" max="3" width="20.00390625" style="17" customWidth="1"/>
    <col min="4" max="4" width="9.140625" style="17" customWidth="1"/>
    <col min="5" max="5" width="20.7109375" style="0" customWidth="1"/>
  </cols>
  <sheetData>
    <row r="1" spans="1:7" ht="12.75">
      <c r="A1" s="17" t="s">
        <v>68</v>
      </c>
      <c r="B1" s="17" t="s">
        <v>0</v>
      </c>
      <c r="D1" s="17" t="s">
        <v>11</v>
      </c>
      <c r="E1" s="17" t="s">
        <v>37</v>
      </c>
      <c r="F1" s="17" t="s">
        <v>7</v>
      </c>
      <c r="G1" s="17" t="s">
        <v>38</v>
      </c>
    </row>
    <row r="2" spans="1:7" ht="12.75">
      <c r="A2" s="17">
        <f>COUNTIF(E$2:E2,E2)</f>
        <v>1</v>
      </c>
      <c r="B2" s="17">
        <v>1</v>
      </c>
      <c r="C2" s="17" t="str">
        <f>E2&amp;A2</f>
        <v>Dan Hornery1</v>
      </c>
      <c r="D2" s="17" t="s">
        <v>50</v>
      </c>
      <c r="E2" t="str">
        <f>+'Stage  Entry'!H4</f>
        <v>Dan Hornery</v>
      </c>
      <c r="F2" s="141">
        <f>+'Stage  Entry'!I4</f>
        <v>0.006944444444444444</v>
      </c>
      <c r="G2" s="18">
        <f aca="true" t="shared" si="0" ref="G2:G15">+Dist1</f>
        <v>3</v>
      </c>
    </row>
    <row r="3" spans="1:7" ht="12.75">
      <c r="A3" s="17">
        <f>COUNTIF(E$2:E3,E3)</f>
        <v>1</v>
      </c>
      <c r="B3" s="17">
        <v>2</v>
      </c>
      <c r="C3" s="17" t="str">
        <f aca="true" t="shared" si="1" ref="C3:C66">E3&amp;A3</f>
        <v>Colin Thornton1</v>
      </c>
      <c r="D3" s="17" t="s">
        <v>50</v>
      </c>
      <c r="E3" t="str">
        <f>+'Stage  Entry'!H5</f>
        <v>Colin Thornton</v>
      </c>
      <c r="F3" s="141">
        <f>+'Stage  Entry'!I5</f>
        <v>0.007523148148148148</v>
      </c>
      <c r="G3" s="18">
        <f t="shared" si="0"/>
        <v>3</v>
      </c>
    </row>
    <row r="4" spans="1:7" ht="12.75">
      <c r="A4" s="17">
        <f>COUNTIF(E$2:E4,E4)</f>
        <v>1</v>
      </c>
      <c r="B4" s="17">
        <v>3</v>
      </c>
      <c r="C4" s="17" t="str">
        <f t="shared" si="1"/>
        <v>Brett Coleman1</v>
      </c>
      <c r="D4" s="17" t="s">
        <v>50</v>
      </c>
      <c r="E4" t="str">
        <f>+'Stage  Entry'!H6</f>
        <v>Brett Coleman</v>
      </c>
      <c r="F4" s="141">
        <f>+'Stage  Entry'!I6</f>
        <v>0.007256944444444444</v>
      </c>
      <c r="G4" s="18">
        <f t="shared" si="0"/>
        <v>3</v>
      </c>
    </row>
    <row r="5" spans="1:7" ht="12.75">
      <c r="A5" s="17">
        <f>COUNTIF(E$2:E5,E5)</f>
        <v>1</v>
      </c>
      <c r="B5" s="17">
        <v>4</v>
      </c>
      <c r="C5" s="17" t="str">
        <f t="shared" si="1"/>
        <v>Paul Martinico1</v>
      </c>
      <c r="D5" s="17" t="s">
        <v>50</v>
      </c>
      <c r="E5" t="str">
        <f>+'Stage  Entry'!H7</f>
        <v>Paul Martinico</v>
      </c>
      <c r="F5" s="141">
        <f>+'Stage  Entry'!I7</f>
        <v>0.007256944444444444</v>
      </c>
      <c r="G5" s="18">
        <f t="shared" si="0"/>
        <v>3</v>
      </c>
    </row>
    <row r="6" spans="1:7" ht="12.75">
      <c r="A6" s="17">
        <f>COUNTIF(E$2:E6,E6)</f>
        <v>1</v>
      </c>
      <c r="B6" s="17">
        <v>5</v>
      </c>
      <c r="C6" s="17" t="str">
        <f t="shared" si="1"/>
        <v>Troy Williams1</v>
      </c>
      <c r="D6" s="17" t="s">
        <v>50</v>
      </c>
      <c r="E6" t="str">
        <f>+'Stage  Entry'!H8</f>
        <v>Troy Williams</v>
      </c>
      <c r="F6" s="141">
        <f>+'Stage  Entry'!I8</f>
        <v>0.007296296296296296</v>
      </c>
      <c r="G6" s="18">
        <f t="shared" si="0"/>
        <v>3</v>
      </c>
    </row>
    <row r="7" spans="1:7" ht="12.75">
      <c r="A7" s="17">
        <f>COUNTIF(E$2:E7,E7)</f>
        <v>1</v>
      </c>
      <c r="B7" s="17">
        <v>6</v>
      </c>
      <c r="C7" s="17" t="str">
        <f t="shared" si="1"/>
        <v>Stephen Paine1</v>
      </c>
      <c r="D7" s="17" t="s">
        <v>50</v>
      </c>
      <c r="E7" t="str">
        <f>+'Stage  Entry'!H9</f>
        <v>Stephen Paine</v>
      </c>
      <c r="F7" s="141">
        <f>+'Stage  Entry'!I9</f>
        <v>0.007337962962962963</v>
      </c>
      <c r="G7" s="18">
        <f t="shared" si="0"/>
        <v>3</v>
      </c>
    </row>
    <row r="8" spans="1:7" ht="12.75">
      <c r="A8" s="17">
        <f>COUNTIF(E$2:E8,E8)</f>
        <v>1</v>
      </c>
      <c r="B8" s="17">
        <v>7</v>
      </c>
      <c r="C8" s="17" t="str">
        <f t="shared" si="1"/>
        <v>Matt Sandilands1</v>
      </c>
      <c r="D8" s="17" t="s">
        <v>50</v>
      </c>
      <c r="E8" t="str">
        <f>+'Stage  Entry'!H10</f>
        <v>Matt Sandilands</v>
      </c>
      <c r="F8" s="141">
        <f>+'Stage  Entry'!I10</f>
        <v>0.007627314814814815</v>
      </c>
      <c r="G8" s="18">
        <f t="shared" si="0"/>
        <v>3</v>
      </c>
    </row>
    <row r="9" spans="1:7" ht="12.75">
      <c r="A9" s="17">
        <f>COUNTIF(E$2:E9,E9)</f>
        <v>1</v>
      </c>
      <c r="B9" s="17">
        <v>1</v>
      </c>
      <c r="C9" s="17" t="str">
        <f t="shared" si="1"/>
        <v>Anthony Mithen1</v>
      </c>
      <c r="D9" s="17" t="s">
        <v>51</v>
      </c>
      <c r="E9" t="str">
        <f>+'Stage  Entry'!M4</f>
        <v>Anthony Mithen</v>
      </c>
      <c r="F9" s="141">
        <f>+'Stage  Entry'!N4</f>
        <v>0.007824074074074075</v>
      </c>
      <c r="G9" s="18">
        <f t="shared" si="0"/>
        <v>3</v>
      </c>
    </row>
    <row r="10" spans="1:7" ht="12.75">
      <c r="A10" s="17">
        <f>COUNTIF(E$2:E10,E10)</f>
        <v>1</v>
      </c>
      <c r="B10" s="17">
        <v>2</v>
      </c>
      <c r="C10" s="17" t="str">
        <f t="shared" si="1"/>
        <v>Bruce Arthur1</v>
      </c>
      <c r="D10" s="17" t="s">
        <v>51</v>
      </c>
      <c r="E10" t="str">
        <f>+'Stage  Entry'!M5</f>
        <v>Bruce Arthur</v>
      </c>
      <c r="F10" s="141">
        <f>+'Stage  Entry'!N5</f>
        <v>0.007962962962962963</v>
      </c>
      <c r="G10" s="18">
        <f t="shared" si="0"/>
        <v>3</v>
      </c>
    </row>
    <row r="11" spans="1:7" ht="12.75">
      <c r="A11" s="17">
        <f>COUNTIF(E$2:E11,E11)</f>
        <v>1</v>
      </c>
      <c r="B11" s="17">
        <v>3</v>
      </c>
      <c r="C11" s="17" t="str">
        <f t="shared" si="1"/>
        <v>Shane Fielding1</v>
      </c>
      <c r="D11" s="17" t="s">
        <v>51</v>
      </c>
      <c r="E11" t="str">
        <f>+'Stage  Entry'!M6</f>
        <v>Shane Fielding</v>
      </c>
      <c r="F11" s="141">
        <f>+'Stage  Entry'!N6</f>
        <v>0.007962962962962963</v>
      </c>
      <c r="G11" s="18">
        <f t="shared" si="0"/>
        <v>3</v>
      </c>
    </row>
    <row r="12" spans="1:7" ht="12.75">
      <c r="A12" s="17">
        <f>COUNTIF(E$2:E12,E12)</f>
        <v>1</v>
      </c>
      <c r="B12" s="17">
        <v>4</v>
      </c>
      <c r="C12" s="17" t="str">
        <f t="shared" si="1"/>
        <v>Anthony Lee1</v>
      </c>
      <c r="D12" s="17" t="s">
        <v>51</v>
      </c>
      <c r="E12" t="str">
        <f>+'Stage  Entry'!M7</f>
        <v>Anthony Lee</v>
      </c>
      <c r="F12" s="141">
        <f>+'Stage  Entry'!N7</f>
        <v>0.007650462962962963</v>
      </c>
      <c r="G12" s="18">
        <f t="shared" si="0"/>
        <v>3</v>
      </c>
    </row>
    <row r="13" spans="1:7" ht="12.75">
      <c r="A13" s="17">
        <f>COUNTIF(E$2:E13,E13)</f>
        <v>1</v>
      </c>
      <c r="B13" s="17">
        <v>5</v>
      </c>
      <c r="C13" s="17" t="str">
        <f t="shared" si="1"/>
        <v>Nic Gilbert1</v>
      </c>
      <c r="D13" s="17" t="s">
        <v>51</v>
      </c>
      <c r="E13" t="str">
        <f>+'Stage  Entry'!M8</f>
        <v>Nic Gilbert</v>
      </c>
      <c r="F13" s="141">
        <f>+'Stage  Entry'!N8</f>
        <v>0.007516203703703705</v>
      </c>
      <c r="G13" s="18">
        <f t="shared" si="0"/>
        <v>3</v>
      </c>
    </row>
    <row r="14" spans="1:7" ht="12.75">
      <c r="A14" s="17">
        <f>COUNTIF(E$2:E14,E14)</f>
        <v>1</v>
      </c>
      <c r="B14" s="17">
        <v>6</v>
      </c>
      <c r="C14" s="17" t="str">
        <f t="shared" si="1"/>
        <v>David Venour1</v>
      </c>
      <c r="D14" s="17" t="s">
        <v>51</v>
      </c>
      <c r="E14" t="str">
        <f>+'Stage  Entry'!M9</f>
        <v>David Venour</v>
      </c>
      <c r="F14" s="141">
        <f>+'Stage  Entry'!N9</f>
        <v>0.00769675925925926</v>
      </c>
      <c r="G14" s="18">
        <f t="shared" si="0"/>
        <v>3</v>
      </c>
    </row>
    <row r="15" spans="1:7" ht="12.75">
      <c r="A15" s="17">
        <f>COUNTIF(E$2:E15,E15)</f>
        <v>1</v>
      </c>
      <c r="B15" s="17">
        <v>7</v>
      </c>
      <c r="C15" s="17" t="str">
        <f t="shared" si="1"/>
        <v>Richard Does1</v>
      </c>
      <c r="D15" s="17" t="s">
        <v>51</v>
      </c>
      <c r="E15" t="str">
        <f>+'Stage  Entry'!M10</f>
        <v>Richard Does</v>
      </c>
      <c r="F15" s="141">
        <f>+'Stage  Entry'!N10</f>
        <v>0.007638888888888889</v>
      </c>
      <c r="G15" s="18">
        <f t="shared" si="0"/>
        <v>3</v>
      </c>
    </row>
    <row r="16" spans="1:7" ht="12.75">
      <c r="A16" s="17">
        <f>COUNTIF(E$2:E16,E16)</f>
        <v>1</v>
      </c>
      <c r="B16" s="17">
        <v>1</v>
      </c>
      <c r="C16" s="17" t="str">
        <f t="shared" si="1"/>
        <v>Scott Bales1</v>
      </c>
      <c r="D16" s="17">
        <v>2</v>
      </c>
      <c r="E16" t="str">
        <f>+'Stage  Entry'!W4</f>
        <v>Scott Bales</v>
      </c>
      <c r="F16" s="141">
        <f>+'Stage  Entry'!X4</f>
        <v>0.010497685185185186</v>
      </c>
      <c r="G16" s="18">
        <f aca="true" t="shared" si="2" ref="G16:G22">+Dist2</f>
        <v>3.6</v>
      </c>
    </row>
    <row r="17" spans="1:7" ht="12.75">
      <c r="A17" s="17">
        <f>COUNTIF(E$2:E17,E17)</f>
        <v>1</v>
      </c>
      <c r="B17" s="17">
        <v>2</v>
      </c>
      <c r="C17" s="17" t="str">
        <f t="shared" si="1"/>
        <v>Jim Grelis1</v>
      </c>
      <c r="D17" s="17">
        <v>2</v>
      </c>
      <c r="E17" t="str">
        <f>+'Stage  Entry'!W5</f>
        <v>Jim Grelis</v>
      </c>
      <c r="F17" s="141">
        <f>+'Stage  Entry'!X5</f>
        <v>0.010810185185185185</v>
      </c>
      <c r="G17" s="18">
        <f t="shared" si="2"/>
        <v>3.6</v>
      </c>
    </row>
    <row r="18" spans="1:7" ht="12.75">
      <c r="A18" s="17">
        <f>COUNTIF(E$2:E18,E18)</f>
        <v>1</v>
      </c>
      <c r="B18" s="17">
        <v>3</v>
      </c>
      <c r="C18" s="17" t="str">
        <f t="shared" si="1"/>
        <v>Matt Lowth1</v>
      </c>
      <c r="D18" s="17">
        <v>2</v>
      </c>
      <c r="E18" t="str">
        <f>+'Stage  Entry'!W6</f>
        <v>Matt Lowth</v>
      </c>
      <c r="F18" s="141">
        <f>+'Stage  Entry'!X6</f>
        <v>0.011458333333333334</v>
      </c>
      <c r="G18" s="18">
        <f t="shared" si="2"/>
        <v>3.6</v>
      </c>
    </row>
    <row r="19" spans="1:7" ht="12.75">
      <c r="A19" s="17">
        <f>COUNTIF(E$2:E19,E19)</f>
        <v>1</v>
      </c>
      <c r="B19" s="17">
        <v>4</v>
      </c>
      <c r="C19" s="17" t="str">
        <f t="shared" si="1"/>
        <v>Craig Harris1</v>
      </c>
      <c r="D19" s="17">
        <v>2</v>
      </c>
      <c r="E19" t="str">
        <f>+'Stage  Entry'!W7</f>
        <v>Craig Harris</v>
      </c>
      <c r="F19" s="141">
        <f>+'Stage  Entry'!X7</f>
        <v>0.009988425925925927</v>
      </c>
      <c r="G19" s="18">
        <f t="shared" si="2"/>
        <v>3.6</v>
      </c>
    </row>
    <row r="20" spans="1:7" ht="12.75">
      <c r="A20" s="17">
        <f>COUNTIF(E$2:E20,E20)</f>
        <v>1</v>
      </c>
      <c r="B20" s="17">
        <v>5</v>
      </c>
      <c r="C20" s="17" t="str">
        <f t="shared" si="1"/>
        <v>Tony Dell1</v>
      </c>
      <c r="D20" s="17">
        <v>2</v>
      </c>
      <c r="E20" t="str">
        <f>+'Stage  Entry'!W8</f>
        <v>Tony Dell</v>
      </c>
      <c r="F20" s="141">
        <f>+'Stage  Entry'!X8</f>
        <v>0.009726851851851851</v>
      </c>
      <c r="G20" s="18">
        <f t="shared" si="2"/>
        <v>3.6</v>
      </c>
    </row>
    <row r="21" spans="1:7" ht="12.75">
      <c r="A21" s="17">
        <f>COUNTIF(E$2:E21,E21)</f>
        <v>1</v>
      </c>
      <c r="B21" s="17">
        <v>6</v>
      </c>
      <c r="C21" s="17" t="str">
        <f t="shared" si="1"/>
        <v>Thai Phan1</v>
      </c>
      <c r="D21" s="17">
        <v>2</v>
      </c>
      <c r="E21" t="str">
        <f>+'Stage  Entry'!W9</f>
        <v>Thai Phan</v>
      </c>
      <c r="F21" s="141">
        <f>+'Stage  Entry'!X9</f>
        <v>0.009814814814814814</v>
      </c>
      <c r="G21" s="18">
        <f t="shared" si="2"/>
        <v>3.6</v>
      </c>
    </row>
    <row r="22" spans="1:7" ht="12.75">
      <c r="A22" s="17">
        <f>COUNTIF(E$2:E22,E22)</f>
        <v>1</v>
      </c>
      <c r="B22" s="17">
        <v>7</v>
      </c>
      <c r="C22" s="17" t="str">
        <f t="shared" si="1"/>
        <v>Gary O'Dwyer1</v>
      </c>
      <c r="D22" s="17">
        <v>2</v>
      </c>
      <c r="E22" t="str">
        <f>+'Stage  Entry'!W10</f>
        <v>Gary O'Dwyer</v>
      </c>
      <c r="F22" s="141">
        <f>+'Stage  Entry'!X10</f>
        <v>0.009780092592592592</v>
      </c>
      <c r="G22" s="18">
        <f t="shared" si="2"/>
        <v>3.6</v>
      </c>
    </row>
    <row r="23" spans="1:7" ht="12.75">
      <c r="A23" s="17">
        <f>COUNTIF(E$2:E23,E23)</f>
        <v>1</v>
      </c>
      <c r="B23" s="17">
        <v>1</v>
      </c>
      <c r="C23" s="17" t="str">
        <f t="shared" si="1"/>
        <v>Wayne Williams1</v>
      </c>
      <c r="D23" s="17">
        <v>3</v>
      </c>
      <c r="E23" t="str">
        <f>+'Stage  Entry'!AB4</f>
        <v>Wayne Williams</v>
      </c>
      <c r="F23" s="141">
        <f>+'Stage  Entry'!AC4</f>
        <v>0.010219907407407408</v>
      </c>
      <c r="G23" s="18">
        <f aca="true" t="shared" si="3" ref="G23:G29">+Dist3</f>
        <v>3.9</v>
      </c>
    </row>
    <row r="24" spans="1:7" ht="12.75">
      <c r="A24" s="17">
        <f>COUNTIF(E$2:E24,E24)</f>
        <v>1</v>
      </c>
      <c r="B24" s="17">
        <v>2</v>
      </c>
      <c r="C24" s="17" t="str">
        <f t="shared" si="1"/>
        <v>Anthony Weiland1</v>
      </c>
      <c r="D24" s="17">
        <v>3</v>
      </c>
      <c r="E24" t="str">
        <f>+'Stage  Entry'!AB5</f>
        <v>Anthony Weiland</v>
      </c>
      <c r="F24" s="141">
        <f>+'Stage  Entry'!AC5</f>
        <v>0.01005787037037037</v>
      </c>
      <c r="G24" s="18">
        <f t="shared" si="3"/>
        <v>3.9</v>
      </c>
    </row>
    <row r="25" spans="1:7" ht="12.75">
      <c r="A25" s="17">
        <f>COUNTIF(E$2:E25,E25)</f>
        <v>1</v>
      </c>
      <c r="B25" s="17">
        <v>3</v>
      </c>
      <c r="C25" s="17" t="str">
        <f t="shared" si="1"/>
        <v>Charles Chambers1</v>
      </c>
      <c r="D25" s="17">
        <v>3</v>
      </c>
      <c r="E25" t="str">
        <f>+'Stage  Entry'!AB6</f>
        <v>Charles Chambers</v>
      </c>
      <c r="F25" s="141">
        <f>+'Stage  Entry'!AC6</f>
        <v>0.010555555555555554</v>
      </c>
      <c r="G25" s="18">
        <f t="shared" si="3"/>
        <v>3.9</v>
      </c>
    </row>
    <row r="26" spans="1:7" ht="12.75">
      <c r="A26" s="17">
        <f>COUNTIF(E$2:E26,E26)</f>
        <v>1</v>
      </c>
      <c r="B26" s="17">
        <v>4</v>
      </c>
      <c r="C26" s="17" t="str">
        <f t="shared" si="1"/>
        <v>Ian Dent1</v>
      </c>
      <c r="D26" s="17">
        <v>3</v>
      </c>
      <c r="E26" t="str">
        <f>+'Stage  Entry'!AB7</f>
        <v>Ian Dent</v>
      </c>
      <c r="F26" s="141">
        <f>+'Stage  Entry'!AC7</f>
        <v>0.009942129629629629</v>
      </c>
      <c r="G26" s="18">
        <f t="shared" si="3"/>
        <v>3.9</v>
      </c>
    </row>
    <row r="27" spans="1:7" ht="12.75">
      <c r="A27" s="17">
        <f>COUNTIF(E$2:E27,E27)</f>
        <v>1</v>
      </c>
      <c r="B27" s="17">
        <v>5</v>
      </c>
      <c r="C27" s="17" t="str">
        <f t="shared" si="1"/>
        <v>Kirsten Jackson1</v>
      </c>
      <c r="D27" s="17">
        <v>3</v>
      </c>
      <c r="E27" t="str">
        <f>+'Stage  Entry'!AB8</f>
        <v>Kirsten Jackson</v>
      </c>
      <c r="F27" s="141">
        <f>+'Stage  Entry'!AC8</f>
        <v>0.01119675925925926</v>
      </c>
      <c r="G27" s="18">
        <f t="shared" si="3"/>
        <v>3.9</v>
      </c>
    </row>
    <row r="28" spans="1:7" ht="12.75">
      <c r="A28" s="17">
        <f>COUNTIF(E$2:E28,E28)</f>
        <v>1</v>
      </c>
      <c r="B28" s="17">
        <v>6</v>
      </c>
      <c r="C28" s="17" t="str">
        <f t="shared" si="1"/>
        <v>Luke Goodman1</v>
      </c>
      <c r="D28" s="17">
        <v>3</v>
      </c>
      <c r="E28" t="str">
        <f>+'Stage  Entry'!AB9</f>
        <v>Luke Goodman</v>
      </c>
      <c r="F28" s="141">
        <f>+'Stage  Entry'!AC9</f>
        <v>0.010474537037037037</v>
      </c>
      <c r="G28" s="18">
        <f t="shared" si="3"/>
        <v>3.9</v>
      </c>
    </row>
    <row r="29" spans="1:7" ht="12.75">
      <c r="A29" s="17">
        <f>COUNTIF(E$2:E29,E29)</f>
        <v>1</v>
      </c>
      <c r="B29" s="17">
        <v>7</v>
      </c>
      <c r="C29" s="17" t="str">
        <f t="shared" si="1"/>
        <v>Juanita Liston1</v>
      </c>
      <c r="D29" s="17">
        <v>3</v>
      </c>
      <c r="E29" t="str">
        <f>+'Stage  Entry'!AB10</f>
        <v>Juanita Liston</v>
      </c>
      <c r="F29" s="141">
        <f>+'Stage  Entry'!AC10</f>
        <v>0.01082175925925926</v>
      </c>
      <c r="G29" s="18">
        <f t="shared" si="3"/>
        <v>3.9</v>
      </c>
    </row>
    <row r="30" spans="1:7" ht="12.75">
      <c r="A30" s="17">
        <f>COUNTIF(E$2:E30,E30)</f>
        <v>2</v>
      </c>
      <c r="B30" s="17">
        <v>1</v>
      </c>
      <c r="C30" s="17" t="str">
        <f t="shared" si="1"/>
        <v>Anthony Mithen2</v>
      </c>
      <c r="D30" s="17">
        <v>4</v>
      </c>
      <c r="E30" t="str">
        <f>+'Stage  Entry'!AG4</f>
        <v>Anthony Mithen</v>
      </c>
      <c r="F30" s="141">
        <f>+'Stage  Entry'!AH4</f>
        <v>0.010636574074074074</v>
      </c>
      <c r="G30" s="18">
        <f aca="true" t="shared" si="4" ref="G30:G36">+Dist4</f>
        <v>4.2</v>
      </c>
    </row>
    <row r="31" spans="1:7" ht="12.75">
      <c r="A31" s="17">
        <f>COUNTIF(E$2:E31,E31)</f>
        <v>2</v>
      </c>
      <c r="B31" s="17">
        <v>2</v>
      </c>
      <c r="C31" s="17" t="str">
        <f t="shared" si="1"/>
        <v>Bruce Arthur2</v>
      </c>
      <c r="D31" s="17">
        <v>4</v>
      </c>
      <c r="E31" t="str">
        <f>+'Stage  Entry'!AG5</f>
        <v>Bruce Arthur</v>
      </c>
      <c r="F31" s="141">
        <f>+'Stage  Entry'!AH5</f>
        <v>0.010497685185185186</v>
      </c>
      <c r="G31" s="18">
        <f t="shared" si="4"/>
        <v>4.2</v>
      </c>
    </row>
    <row r="32" spans="1:7" ht="12.75">
      <c r="A32" s="17">
        <f>COUNTIF(E$2:E32,E32)</f>
        <v>2</v>
      </c>
      <c r="B32" s="17">
        <v>3</v>
      </c>
      <c r="C32" s="17" t="str">
        <f t="shared" si="1"/>
        <v>Shane Fielding2</v>
      </c>
      <c r="D32" s="17">
        <v>4</v>
      </c>
      <c r="E32" t="str">
        <f>+'Stage  Entry'!AG6</f>
        <v>Shane Fielding</v>
      </c>
      <c r="F32" s="141">
        <f>+'Stage  Entry'!AH6</f>
        <v>0.010127314814814815</v>
      </c>
      <c r="G32" s="18">
        <f t="shared" si="4"/>
        <v>4.2</v>
      </c>
    </row>
    <row r="33" spans="1:7" ht="12.75">
      <c r="A33" s="17">
        <f>COUNTIF(E$2:E33,E33)</f>
        <v>2</v>
      </c>
      <c r="B33" s="17">
        <v>4</v>
      </c>
      <c r="C33" s="17" t="str">
        <f t="shared" si="1"/>
        <v>Anthony Lee2</v>
      </c>
      <c r="D33" s="17">
        <v>4</v>
      </c>
      <c r="E33" t="str">
        <f>+'Stage  Entry'!AG7</f>
        <v>Anthony Lee</v>
      </c>
      <c r="F33" s="141">
        <f>+'Stage  Entry'!AH7</f>
        <v>0.010231481481481482</v>
      </c>
      <c r="G33" s="18">
        <f t="shared" si="4"/>
        <v>4.2</v>
      </c>
    </row>
    <row r="34" spans="1:7" ht="12.75">
      <c r="A34" s="17">
        <f>COUNTIF(E$2:E34,E34)</f>
        <v>2</v>
      </c>
      <c r="B34" s="17">
        <v>5</v>
      </c>
      <c r="C34" s="17" t="str">
        <f t="shared" si="1"/>
        <v>Nic Gilbert2</v>
      </c>
      <c r="D34" s="17">
        <v>4</v>
      </c>
      <c r="E34" t="str">
        <f>+'Stage  Entry'!AG8</f>
        <v>Nic Gilbert</v>
      </c>
      <c r="F34" s="141">
        <f>+'Stage  Entry'!AH8</f>
        <v>0.009900462962962963</v>
      </c>
      <c r="G34" s="18">
        <f t="shared" si="4"/>
        <v>4.2</v>
      </c>
    </row>
    <row r="35" spans="1:7" ht="12.75">
      <c r="A35" s="17">
        <f>COUNTIF(E$2:E35,E35)</f>
        <v>2</v>
      </c>
      <c r="B35" s="17">
        <v>6</v>
      </c>
      <c r="C35" s="17" t="str">
        <f t="shared" si="1"/>
        <v>David Venour2</v>
      </c>
      <c r="D35" s="17">
        <v>4</v>
      </c>
      <c r="E35" t="str">
        <f>+'Stage  Entry'!AG9</f>
        <v>David Venour</v>
      </c>
      <c r="F35" s="141">
        <f>+'Stage  Entry'!AH9</f>
        <v>0.010277777777777778</v>
      </c>
      <c r="G35" s="18">
        <f t="shared" si="4"/>
        <v>4.2</v>
      </c>
    </row>
    <row r="36" spans="1:7" ht="12.75">
      <c r="A36" s="17">
        <f>COUNTIF(E$2:E36,E36)</f>
        <v>2</v>
      </c>
      <c r="B36" s="17">
        <v>7</v>
      </c>
      <c r="C36" s="17" t="str">
        <f t="shared" si="1"/>
        <v>Richard Does2</v>
      </c>
      <c r="D36" s="17">
        <v>4</v>
      </c>
      <c r="E36" t="str">
        <f>+'Stage  Entry'!AG10</f>
        <v>Richard Does</v>
      </c>
      <c r="F36" s="141">
        <f>+'Stage  Entry'!AH10</f>
        <v>0.010034722222222221</v>
      </c>
      <c r="G36" s="18">
        <f t="shared" si="4"/>
        <v>4.2</v>
      </c>
    </row>
    <row r="37" spans="1:7" ht="12.75">
      <c r="A37" s="17">
        <f>COUNTIF(E$2:E37,E37)</f>
        <v>2</v>
      </c>
      <c r="B37" s="17">
        <v>1</v>
      </c>
      <c r="C37" s="17" t="str">
        <f t="shared" si="1"/>
        <v>Dan Hornery2</v>
      </c>
      <c r="D37" s="17">
        <v>5</v>
      </c>
      <c r="E37" t="str">
        <f>+'Stage  Entry'!AL4</f>
        <v>Dan Hornery</v>
      </c>
      <c r="F37" s="141">
        <f>+'Stage  Entry'!AM4</f>
        <v>0.009768518518518518</v>
      </c>
      <c r="G37" s="18">
        <f aca="true" t="shared" si="5" ref="G37:G43">+Dist5</f>
        <v>4.7</v>
      </c>
    </row>
    <row r="38" spans="1:7" ht="12.75">
      <c r="A38" s="17">
        <f>COUNTIF(E$2:E38,E38)</f>
        <v>2</v>
      </c>
      <c r="B38" s="17">
        <v>2</v>
      </c>
      <c r="C38" s="17" t="str">
        <f t="shared" si="1"/>
        <v>Colin Thornton2</v>
      </c>
      <c r="D38" s="17">
        <v>5</v>
      </c>
      <c r="E38" t="str">
        <f>+'Stage  Entry'!AL5</f>
        <v>Colin Thornton</v>
      </c>
      <c r="F38" s="141">
        <f>+'Stage  Entry'!AM5</f>
        <v>0.010729166666666666</v>
      </c>
      <c r="G38" s="18">
        <f t="shared" si="5"/>
        <v>4.7</v>
      </c>
    </row>
    <row r="39" spans="1:7" ht="12.75">
      <c r="A39" s="17">
        <f>COUNTIF(E$2:E39,E39)</f>
        <v>2</v>
      </c>
      <c r="B39" s="17">
        <v>3</v>
      </c>
      <c r="C39" s="17" t="str">
        <f t="shared" si="1"/>
        <v>Brett Coleman2</v>
      </c>
      <c r="D39" s="17">
        <v>5</v>
      </c>
      <c r="E39" t="str">
        <f>+'Stage  Entry'!AL6</f>
        <v>Brett Coleman</v>
      </c>
      <c r="F39" s="141">
        <f>+'Stage  Entry'!AM6</f>
        <v>0.01068287037037037</v>
      </c>
      <c r="G39" s="18">
        <f t="shared" si="5"/>
        <v>4.7</v>
      </c>
    </row>
    <row r="40" spans="1:7" ht="12.75">
      <c r="A40" s="17">
        <f>COUNTIF(E$2:E40,E40)</f>
        <v>2</v>
      </c>
      <c r="B40" s="17">
        <v>4</v>
      </c>
      <c r="C40" s="17" t="str">
        <f t="shared" si="1"/>
        <v>Paul Martinico2</v>
      </c>
      <c r="D40" s="17">
        <v>5</v>
      </c>
      <c r="E40" t="str">
        <f>+'Stage  Entry'!AL7</f>
        <v>Paul Martinico</v>
      </c>
      <c r="F40" s="141">
        <f>+'Stage  Entry'!AM7</f>
        <v>0.010798611111111111</v>
      </c>
      <c r="G40" s="18">
        <f t="shared" si="5"/>
        <v>4.7</v>
      </c>
    </row>
    <row r="41" spans="1:7" ht="12.75">
      <c r="A41" s="17">
        <f>COUNTIF(E$2:E41,E41)</f>
        <v>2</v>
      </c>
      <c r="B41" s="17">
        <v>5</v>
      </c>
      <c r="C41" s="17" t="str">
        <f t="shared" si="1"/>
        <v>Troy Williams2</v>
      </c>
      <c r="D41" s="17">
        <v>5</v>
      </c>
      <c r="E41" t="str">
        <f>+'Stage  Entry'!AL8</f>
        <v>Troy Williams</v>
      </c>
      <c r="F41" s="141">
        <f>+'Stage  Entry'!AM8</f>
        <v>0.010375</v>
      </c>
      <c r="G41" s="18">
        <f t="shared" si="5"/>
        <v>4.7</v>
      </c>
    </row>
    <row r="42" spans="1:7" ht="12.75">
      <c r="A42" s="17">
        <f>COUNTIF(E$2:E42,E42)</f>
        <v>2</v>
      </c>
      <c r="B42" s="17">
        <v>6</v>
      </c>
      <c r="C42" s="17" t="str">
        <f t="shared" si="1"/>
        <v>Stephen Paine2</v>
      </c>
      <c r="D42" s="17">
        <v>5</v>
      </c>
      <c r="E42" t="str">
        <f>+'Stage  Entry'!AL9</f>
        <v>Stephen Paine</v>
      </c>
      <c r="F42" s="141">
        <f>+'Stage  Entry'!AM9</f>
        <v>0.010613425925925927</v>
      </c>
      <c r="G42" s="18">
        <f t="shared" si="5"/>
        <v>4.7</v>
      </c>
    </row>
    <row r="43" spans="1:7" ht="12.75">
      <c r="A43" s="17">
        <f>COUNTIF(E$2:E43,E43)</f>
        <v>2</v>
      </c>
      <c r="B43" s="17">
        <v>7</v>
      </c>
      <c r="C43" s="17" t="str">
        <f t="shared" si="1"/>
        <v>Matt Sandilands2</v>
      </c>
      <c r="D43" s="17">
        <v>5</v>
      </c>
      <c r="E43" t="str">
        <f>+'Stage  Entry'!AL10</f>
        <v>Matt Sandilands</v>
      </c>
      <c r="F43" s="141">
        <f>+'Stage  Entry'!AM10</f>
        <v>0.01175925925925926</v>
      </c>
      <c r="G43" s="18">
        <f t="shared" si="5"/>
        <v>4.7</v>
      </c>
    </row>
    <row r="44" spans="1:7" ht="12.75">
      <c r="A44" s="17">
        <f>COUNTIF(E$2:E44,E44)</f>
        <v>2</v>
      </c>
      <c r="B44" s="17">
        <v>1</v>
      </c>
      <c r="C44" s="17" t="str">
        <f t="shared" si="1"/>
        <v>Scott Bales2</v>
      </c>
      <c r="D44" s="17">
        <v>6</v>
      </c>
      <c r="E44" t="str">
        <f>+'Stage  Entry'!AQ4</f>
        <v>Scott Bales</v>
      </c>
      <c r="F44" s="141">
        <f>+'Stage  Entry'!AR4</f>
        <v>0.010787037037037038</v>
      </c>
      <c r="G44" s="18">
        <f aca="true" t="shared" si="6" ref="G44:G50">+Dist6</f>
        <v>3.25</v>
      </c>
    </row>
    <row r="45" spans="1:7" ht="12.75">
      <c r="A45" s="17">
        <f>COUNTIF(E$2:E45,E45)</f>
        <v>2</v>
      </c>
      <c r="B45" s="17">
        <v>2</v>
      </c>
      <c r="C45" s="17" t="str">
        <f t="shared" si="1"/>
        <v>Jim Grelis2</v>
      </c>
      <c r="D45" s="17">
        <v>6</v>
      </c>
      <c r="E45" t="str">
        <f>+'Stage  Entry'!AQ5</f>
        <v>Jim Grelis</v>
      </c>
      <c r="F45" s="141">
        <f>+'Stage  Entry'!AR5</f>
        <v>0.011666666666666667</v>
      </c>
      <c r="G45" s="18">
        <f t="shared" si="6"/>
        <v>3.25</v>
      </c>
    </row>
    <row r="46" spans="1:7" ht="12.75">
      <c r="A46" s="17">
        <f>COUNTIF(E$2:E46,E46)</f>
        <v>2</v>
      </c>
      <c r="B46" s="17">
        <v>3</v>
      </c>
      <c r="C46" s="17" t="str">
        <f t="shared" si="1"/>
        <v>Matt Lowth2</v>
      </c>
      <c r="D46" s="17">
        <v>6</v>
      </c>
      <c r="E46" t="str">
        <f>+'Stage  Entry'!AQ6</f>
        <v>Matt Lowth</v>
      </c>
      <c r="F46" s="141">
        <f>+'Stage  Entry'!AR6</f>
        <v>0.011979166666666666</v>
      </c>
      <c r="G46" s="18">
        <f t="shared" si="6"/>
        <v>3.25</v>
      </c>
    </row>
    <row r="47" spans="1:7" ht="12.75">
      <c r="A47" s="17">
        <f>COUNTIF(E$2:E47,E47)</f>
        <v>2</v>
      </c>
      <c r="B47" s="17">
        <v>4</v>
      </c>
      <c r="C47" s="17" t="str">
        <f t="shared" si="1"/>
        <v>Craig Harris2</v>
      </c>
      <c r="D47" s="17">
        <v>6</v>
      </c>
      <c r="E47" t="str">
        <f>+'Stage  Entry'!AQ7</f>
        <v>Craig Harris</v>
      </c>
      <c r="F47" s="141">
        <f>+'Stage  Entry'!AR7</f>
        <v>0.010335648148148148</v>
      </c>
      <c r="G47" s="18">
        <f t="shared" si="6"/>
        <v>3.25</v>
      </c>
    </row>
    <row r="48" spans="1:7" ht="12.75">
      <c r="A48" s="17">
        <f>COUNTIF(E$2:E48,E48)</f>
        <v>2</v>
      </c>
      <c r="B48" s="17">
        <v>5</v>
      </c>
      <c r="C48" s="17" t="str">
        <f t="shared" si="1"/>
        <v>Tony Dell2</v>
      </c>
      <c r="D48" s="17">
        <v>6</v>
      </c>
      <c r="E48" t="str">
        <f>+'Stage  Entry'!AQ8</f>
        <v>Tony Dell</v>
      </c>
      <c r="F48" s="141">
        <f>+'Stage  Entry'!AR8</f>
        <v>0.010108796296296296</v>
      </c>
      <c r="G48" s="18">
        <f t="shared" si="6"/>
        <v>3.25</v>
      </c>
    </row>
    <row r="49" spans="1:7" ht="12.75">
      <c r="A49" s="17">
        <f>COUNTIF(E$2:E49,E49)</f>
        <v>2</v>
      </c>
      <c r="B49" s="17">
        <v>6</v>
      </c>
      <c r="C49" s="17" t="str">
        <f t="shared" si="1"/>
        <v>Thai Phan2</v>
      </c>
      <c r="D49" s="17">
        <v>6</v>
      </c>
      <c r="E49" t="str">
        <f>+'Stage  Entry'!AQ9</f>
        <v>Thai Phan</v>
      </c>
      <c r="F49" s="141">
        <f>+'Stage  Entry'!AR9</f>
        <v>0.010300925925925927</v>
      </c>
      <c r="G49" s="18">
        <f t="shared" si="6"/>
        <v>3.25</v>
      </c>
    </row>
    <row r="50" spans="1:7" ht="12.75">
      <c r="A50" s="17">
        <f>COUNTIF(E$2:E50,E50)</f>
        <v>2</v>
      </c>
      <c r="B50" s="17">
        <v>7</v>
      </c>
      <c r="C50" s="17" t="str">
        <f t="shared" si="1"/>
        <v>Gary O'Dwyer2</v>
      </c>
      <c r="D50" s="17">
        <v>6</v>
      </c>
      <c r="E50" t="str">
        <f>+'Stage  Entry'!AQ10</f>
        <v>Gary O'Dwyer</v>
      </c>
      <c r="F50" s="141">
        <f>+'Stage  Entry'!AR10</f>
        <v>0.010324074074074074</v>
      </c>
      <c r="G50" s="18">
        <f t="shared" si="6"/>
        <v>3.25</v>
      </c>
    </row>
    <row r="51" spans="1:7" ht="12.75">
      <c r="A51" s="17">
        <f>COUNTIF(E$2:E51,E51)</f>
        <v>2</v>
      </c>
      <c r="B51" s="17">
        <v>1</v>
      </c>
      <c r="C51" s="17" t="str">
        <f t="shared" si="1"/>
        <v>Wayne Williams2</v>
      </c>
      <c r="D51" s="17">
        <v>7</v>
      </c>
      <c r="E51" t="str">
        <f>+'Stage  Entry'!AV4</f>
        <v>Wayne Williams</v>
      </c>
      <c r="F51" s="141">
        <f>+'Stage  Entry'!AW4</f>
        <v>0.009050925925925926</v>
      </c>
      <c r="G51" s="18">
        <f aca="true" t="shared" si="7" ref="G51:G57">+Dist7</f>
        <v>3.7</v>
      </c>
    </row>
    <row r="52" spans="1:7" ht="12.75">
      <c r="A52" s="17">
        <f>COUNTIF(E$2:E52,E52)</f>
        <v>2</v>
      </c>
      <c r="B52" s="17">
        <v>2</v>
      </c>
      <c r="C52" s="17" t="str">
        <f t="shared" si="1"/>
        <v>Anthony Weiland2</v>
      </c>
      <c r="D52" s="17">
        <v>7</v>
      </c>
      <c r="E52" t="str">
        <f>+'Stage  Entry'!AV5</f>
        <v>Anthony Weiland</v>
      </c>
      <c r="F52" s="141">
        <f>+'Stage  Entry'!AW5</f>
        <v>0.008900462962962962</v>
      </c>
      <c r="G52" s="18">
        <f t="shared" si="7"/>
        <v>3.7</v>
      </c>
    </row>
    <row r="53" spans="1:7" ht="12.75">
      <c r="A53" s="17">
        <f>COUNTIF(E$2:E53,E53)</f>
        <v>2</v>
      </c>
      <c r="B53" s="17">
        <v>3</v>
      </c>
      <c r="C53" s="17" t="str">
        <f t="shared" si="1"/>
        <v>Charles Chambers2</v>
      </c>
      <c r="D53" s="17">
        <v>7</v>
      </c>
      <c r="E53" t="str">
        <f>+'Stage  Entry'!AV6</f>
        <v>Charles Chambers</v>
      </c>
      <c r="F53" s="141">
        <f>+'Stage  Entry'!AW6</f>
        <v>0.009444444444444445</v>
      </c>
      <c r="G53" s="18">
        <f t="shared" si="7"/>
        <v>3.7</v>
      </c>
    </row>
    <row r="54" spans="1:7" ht="12.75">
      <c r="A54" s="17">
        <f>COUNTIF(E$2:E54,E54)</f>
        <v>2</v>
      </c>
      <c r="B54" s="17">
        <v>4</v>
      </c>
      <c r="C54" s="17" t="str">
        <f t="shared" si="1"/>
        <v>Ian Dent2</v>
      </c>
      <c r="D54" s="17">
        <v>7</v>
      </c>
      <c r="E54" t="str">
        <f>+'Stage  Entry'!AV7</f>
        <v>Ian Dent</v>
      </c>
      <c r="F54" s="141">
        <f>+'Stage  Entry'!AW7</f>
        <v>0.008784722222222223</v>
      </c>
      <c r="G54" s="18">
        <f t="shared" si="7"/>
        <v>3.7</v>
      </c>
    </row>
    <row r="55" spans="1:7" ht="12.75">
      <c r="A55" s="17">
        <f>COUNTIF(E$2:E55,E55)</f>
        <v>2</v>
      </c>
      <c r="B55" s="17">
        <v>5</v>
      </c>
      <c r="C55" s="17" t="str">
        <f t="shared" si="1"/>
        <v>Kirsten Jackson2</v>
      </c>
      <c r="D55" s="17">
        <v>7</v>
      </c>
      <c r="E55" t="str">
        <f>+'Stage  Entry'!AV8</f>
        <v>Kirsten Jackson</v>
      </c>
      <c r="F55" s="141">
        <f>+'Stage  Entry'!AW8</f>
        <v>0.010155092592592592</v>
      </c>
      <c r="G55" s="18">
        <f t="shared" si="7"/>
        <v>3.7</v>
      </c>
    </row>
    <row r="56" spans="1:7" ht="12.75">
      <c r="A56" s="17">
        <f>COUNTIF(E$2:E56,E56)</f>
        <v>2</v>
      </c>
      <c r="B56" s="17">
        <v>6</v>
      </c>
      <c r="C56" s="17" t="str">
        <f t="shared" si="1"/>
        <v>Luke Goodman2</v>
      </c>
      <c r="D56" s="17">
        <v>7</v>
      </c>
      <c r="E56" t="str">
        <f>+'Stage  Entry'!AV9</f>
        <v>Luke Goodman</v>
      </c>
      <c r="F56" s="141">
        <f>+'Stage  Entry'!AW9</f>
        <v>0.009432870370370371</v>
      </c>
      <c r="G56" s="18">
        <f t="shared" si="7"/>
        <v>3.7</v>
      </c>
    </row>
    <row r="57" spans="1:7" ht="12.75">
      <c r="A57" s="17">
        <f>COUNTIF(E$2:E57,E57)</f>
        <v>2</v>
      </c>
      <c r="B57" s="17">
        <v>7</v>
      </c>
      <c r="C57" s="17" t="str">
        <f t="shared" si="1"/>
        <v>Juanita Liston2</v>
      </c>
      <c r="D57" s="17">
        <v>7</v>
      </c>
      <c r="E57" t="str">
        <f>+'Stage  Entry'!AV10</f>
        <v>Juanita Liston</v>
      </c>
      <c r="F57" s="141">
        <f>+'Stage  Entry'!AW10</f>
        <v>0.009351851851851853</v>
      </c>
      <c r="G57" s="18">
        <f t="shared" si="7"/>
        <v>3.7</v>
      </c>
    </row>
    <row r="58" spans="1:7" ht="12.75">
      <c r="A58" s="17">
        <f>COUNTIF(E$2:E58,E58)</f>
        <v>3</v>
      </c>
      <c r="B58" s="17">
        <v>1</v>
      </c>
      <c r="C58" s="17" t="str">
        <f t="shared" si="1"/>
        <v>Wayne Williams3</v>
      </c>
      <c r="D58" s="17" t="s">
        <v>52</v>
      </c>
      <c r="E58" t="str">
        <f>+'Stage  Entry'!H14</f>
        <v>Wayne Williams</v>
      </c>
      <c r="F58" s="141">
        <f>+'Stage  Entry'!I14</f>
        <v>0.007569444444444445</v>
      </c>
      <c r="G58" s="18">
        <f aca="true" t="shared" si="8" ref="G58:G71">+Dist8</f>
        <v>3</v>
      </c>
    </row>
    <row r="59" spans="1:7" ht="12.75">
      <c r="A59" s="17">
        <f>COUNTIF(E$2:E59,E59)</f>
        <v>3</v>
      </c>
      <c r="B59" s="17">
        <v>2</v>
      </c>
      <c r="C59" s="17" t="str">
        <f t="shared" si="1"/>
        <v>Anthony Weiland3</v>
      </c>
      <c r="D59" s="17" t="s">
        <v>52</v>
      </c>
      <c r="E59" t="str">
        <f>+'Stage  Entry'!H15</f>
        <v>Anthony Weiland</v>
      </c>
      <c r="F59" s="141">
        <f>+'Stage  Entry'!I15</f>
        <v>0.007361111111111111</v>
      </c>
      <c r="G59" s="18">
        <f t="shared" si="8"/>
        <v>3</v>
      </c>
    </row>
    <row r="60" spans="1:7" ht="12.75">
      <c r="A60" s="17">
        <f>COUNTIF(E$2:E60,E60)</f>
        <v>3</v>
      </c>
      <c r="B60" s="17">
        <v>3</v>
      </c>
      <c r="C60" s="17" t="str">
        <f t="shared" si="1"/>
        <v>Charles Chambers3</v>
      </c>
      <c r="D60" s="17" t="s">
        <v>52</v>
      </c>
      <c r="E60" t="str">
        <f>+'Stage  Entry'!H16</f>
        <v>Charles Chambers</v>
      </c>
      <c r="F60" s="141">
        <f>+'Stage  Entry'!I16</f>
        <v>0.0078125</v>
      </c>
      <c r="G60" s="18">
        <f t="shared" si="8"/>
        <v>3</v>
      </c>
    </row>
    <row r="61" spans="1:7" ht="12.75">
      <c r="A61" s="17">
        <f>COUNTIF(E$2:E61,E61)</f>
        <v>3</v>
      </c>
      <c r="B61" s="17">
        <v>4</v>
      </c>
      <c r="C61" s="17" t="str">
        <f t="shared" si="1"/>
        <v>Ian Dent3</v>
      </c>
      <c r="D61" s="17" t="s">
        <v>52</v>
      </c>
      <c r="E61" t="str">
        <f>+'Stage  Entry'!H17</f>
        <v>Ian Dent</v>
      </c>
      <c r="F61" s="141">
        <f>+'Stage  Entry'!I17</f>
        <v>0.007430555555555555</v>
      </c>
      <c r="G61" s="18">
        <f t="shared" si="8"/>
        <v>3</v>
      </c>
    </row>
    <row r="62" spans="1:7" ht="12.75">
      <c r="A62" s="17">
        <f>COUNTIF(E$2:E62,E62)</f>
        <v>3</v>
      </c>
      <c r="B62" s="17">
        <v>5</v>
      </c>
      <c r="C62" s="17" t="str">
        <f t="shared" si="1"/>
        <v>Tony Dell3</v>
      </c>
      <c r="D62" s="17" t="s">
        <v>52</v>
      </c>
      <c r="E62" t="str">
        <f>+'Stage  Entry'!H18</f>
        <v>Tony Dell</v>
      </c>
      <c r="F62" s="141">
        <f>+'Stage  Entry'!I18</f>
        <v>0.008206018518518519</v>
      </c>
      <c r="G62" s="18">
        <f t="shared" si="8"/>
        <v>3</v>
      </c>
    </row>
    <row r="63" spans="1:7" ht="12.75">
      <c r="A63" s="17">
        <f>COUNTIF(E$2:E63,E63)</f>
        <v>3</v>
      </c>
      <c r="B63" s="17">
        <v>6</v>
      </c>
      <c r="C63" s="17" t="str">
        <f t="shared" si="1"/>
        <v>Luke Goodman3</v>
      </c>
      <c r="D63" s="17" t="s">
        <v>52</v>
      </c>
      <c r="E63" t="str">
        <f>+'Stage  Entry'!H19</f>
        <v>Luke Goodman</v>
      </c>
      <c r="F63" s="141">
        <f>+'Stage  Entry'!I19</f>
        <v>0.008101851851851851</v>
      </c>
      <c r="G63" s="18">
        <f t="shared" si="8"/>
        <v>3</v>
      </c>
    </row>
    <row r="64" spans="1:7" ht="12.75">
      <c r="A64" s="17">
        <f>COUNTIF(E$2:E64,E64)</f>
        <v>3</v>
      </c>
      <c r="B64" s="17">
        <v>7</v>
      </c>
      <c r="C64" s="17" t="str">
        <f t="shared" si="1"/>
        <v>Juanita Liston3</v>
      </c>
      <c r="D64" s="17" t="s">
        <v>52</v>
      </c>
      <c r="E64" t="str">
        <f>+'Stage  Entry'!H20</f>
        <v>Juanita Liston</v>
      </c>
      <c r="F64" s="141">
        <f>+'Stage  Entry'!I20</f>
        <v>0.007881944444444443</v>
      </c>
      <c r="G64" s="18">
        <f t="shared" si="8"/>
        <v>3</v>
      </c>
    </row>
    <row r="65" spans="1:7" ht="12.75">
      <c r="A65" s="17">
        <f>COUNTIF(E$2:E65,E65)</f>
        <v>3</v>
      </c>
      <c r="B65" s="17">
        <v>1</v>
      </c>
      <c r="C65" s="17" t="str">
        <f t="shared" si="1"/>
        <v>Scott Bales3</v>
      </c>
      <c r="D65" s="17" t="s">
        <v>53</v>
      </c>
      <c r="E65" t="str">
        <f>+'Stage  Entry'!M14</f>
        <v>Scott Bales</v>
      </c>
      <c r="F65" s="141">
        <f>+'Stage  Entry'!N14</f>
        <v>0.008912037037037038</v>
      </c>
      <c r="G65" s="18">
        <f t="shared" si="8"/>
        <v>3</v>
      </c>
    </row>
    <row r="66" spans="1:7" ht="12.75">
      <c r="A66" s="17">
        <f>COUNTIF(E$2:E66,E66)</f>
        <v>3</v>
      </c>
      <c r="B66" s="17">
        <v>2</v>
      </c>
      <c r="C66" s="17" t="str">
        <f t="shared" si="1"/>
        <v>Jim Grelis3</v>
      </c>
      <c r="D66" s="17" t="s">
        <v>53</v>
      </c>
      <c r="E66" t="str">
        <f>+'Stage  Entry'!M15</f>
        <v>Jim Grelis</v>
      </c>
      <c r="F66" s="141">
        <f>+'Stage  Entry'!N15</f>
        <v>0.009537037037037037</v>
      </c>
      <c r="G66" s="18">
        <f t="shared" si="8"/>
        <v>3</v>
      </c>
    </row>
    <row r="67" spans="1:7" ht="12.75">
      <c r="A67" s="17">
        <f>COUNTIF(E$2:E67,E67)</f>
        <v>3</v>
      </c>
      <c r="B67" s="17">
        <v>3</v>
      </c>
      <c r="C67" s="17" t="str">
        <f aca="true" t="shared" si="9" ref="C67:C113">E67&amp;A67</f>
        <v>Matt Lowth3</v>
      </c>
      <c r="D67" s="17" t="s">
        <v>53</v>
      </c>
      <c r="E67" t="str">
        <f>+'Stage  Entry'!M16</f>
        <v>Matt Lowth</v>
      </c>
      <c r="F67" s="141">
        <f>+'Stage  Entry'!N16</f>
        <v>0.009791666666666666</v>
      </c>
      <c r="G67" s="18">
        <f t="shared" si="8"/>
        <v>3</v>
      </c>
    </row>
    <row r="68" spans="1:7" ht="12.75">
      <c r="A68" s="17">
        <f>COUNTIF(E$2:E68,E68)</f>
        <v>3</v>
      </c>
      <c r="B68" s="17">
        <v>4</v>
      </c>
      <c r="C68" s="17" t="str">
        <f t="shared" si="9"/>
        <v>Craig Harris3</v>
      </c>
      <c r="D68" s="17" t="s">
        <v>53</v>
      </c>
      <c r="E68" t="str">
        <f>+'Stage  Entry'!M17</f>
        <v>Craig Harris</v>
      </c>
      <c r="F68" s="141">
        <f>+'Stage  Entry'!N17</f>
        <v>0.008414351851851852</v>
      </c>
      <c r="G68" s="18">
        <f t="shared" si="8"/>
        <v>3</v>
      </c>
    </row>
    <row r="69" spans="1:7" ht="12.75">
      <c r="A69" s="17">
        <f>COUNTIF(E$2:E69,E69)</f>
        <v>3</v>
      </c>
      <c r="B69" s="17">
        <v>5</v>
      </c>
      <c r="C69" s="17" t="str">
        <f t="shared" si="9"/>
        <v>Kirsten Jackson3</v>
      </c>
      <c r="D69" s="17" t="s">
        <v>53</v>
      </c>
      <c r="E69" t="str">
        <f>+'Stage  Entry'!M18</f>
        <v>Kirsten Jackson</v>
      </c>
      <c r="F69" s="141">
        <f>+'Stage  Entry'!N18</f>
        <v>0.00849537037037037</v>
      </c>
      <c r="G69" s="18">
        <f t="shared" si="8"/>
        <v>3</v>
      </c>
    </row>
    <row r="70" spans="1:7" ht="12.75">
      <c r="A70" s="17">
        <f>COUNTIF(E$2:E70,E70)</f>
        <v>3</v>
      </c>
      <c r="B70" s="17">
        <v>6</v>
      </c>
      <c r="C70" s="17" t="str">
        <f t="shared" si="9"/>
        <v>Thai Phan3</v>
      </c>
      <c r="D70" s="17" t="s">
        <v>53</v>
      </c>
      <c r="E70" t="str">
        <f>+'Stage  Entry'!M19</f>
        <v>Thai Phan</v>
      </c>
      <c r="F70" s="141">
        <f>+'Stage  Entry'!N19</f>
        <v>0.008506944444444444</v>
      </c>
      <c r="G70" s="18">
        <f t="shared" si="8"/>
        <v>3</v>
      </c>
    </row>
    <row r="71" spans="1:7" ht="12.75">
      <c r="A71" s="17">
        <f>COUNTIF(E$2:E71,E71)</f>
        <v>3</v>
      </c>
      <c r="B71" s="17">
        <v>7</v>
      </c>
      <c r="C71" s="17" t="str">
        <f t="shared" si="9"/>
        <v>Gary O'Dwyer3</v>
      </c>
      <c r="D71" s="17" t="s">
        <v>53</v>
      </c>
      <c r="E71" t="str">
        <f>+'Stage  Entry'!M20</f>
        <v>Gary O'Dwyer</v>
      </c>
      <c r="F71" s="141">
        <f>+'Stage  Entry'!N20</f>
        <v>0.008206018518518519</v>
      </c>
      <c r="G71" s="18">
        <f t="shared" si="8"/>
        <v>3</v>
      </c>
    </row>
    <row r="72" spans="1:7" ht="12.75">
      <c r="A72" s="17">
        <f>COUNTIF(E$2:E72,E72)</f>
        <v>3</v>
      </c>
      <c r="B72" s="17">
        <v>1</v>
      </c>
      <c r="C72" s="17" t="str">
        <f t="shared" si="9"/>
        <v>Dan Hornery3</v>
      </c>
      <c r="D72" s="17">
        <v>9</v>
      </c>
      <c r="E72" t="str">
        <f>+'Stage  Entry'!W14</f>
        <v>Dan Hornery</v>
      </c>
      <c r="F72" s="141">
        <f>+'Stage  Entry'!X14</f>
        <v>0.008935185185185187</v>
      </c>
      <c r="G72" s="18">
        <f aca="true" t="shared" si="10" ref="G72:G78">+Dist9</f>
        <v>3.6</v>
      </c>
    </row>
    <row r="73" spans="1:7" ht="12.75">
      <c r="A73" s="17">
        <f>COUNTIF(E$2:E73,E73)</f>
        <v>3</v>
      </c>
      <c r="B73" s="17">
        <v>2</v>
      </c>
      <c r="C73" s="17" t="str">
        <f t="shared" si="9"/>
        <v>Bruce Arthur3</v>
      </c>
      <c r="D73" s="17">
        <v>9</v>
      </c>
      <c r="E73" t="str">
        <f>+'Stage  Entry'!W15</f>
        <v>Bruce Arthur</v>
      </c>
      <c r="F73" s="141">
        <f>+'Stage  Entry'!X15</f>
        <v>0.01068287037037037</v>
      </c>
      <c r="G73" s="18">
        <f t="shared" si="10"/>
        <v>3.6</v>
      </c>
    </row>
    <row r="74" spans="1:7" ht="12.75">
      <c r="A74" s="17">
        <f>COUNTIF(E$2:E74,E74)</f>
        <v>3</v>
      </c>
      <c r="B74" s="17">
        <v>3</v>
      </c>
      <c r="C74" s="17" t="str">
        <f t="shared" si="9"/>
        <v>Shane Fielding3</v>
      </c>
      <c r="D74" s="17">
        <v>9</v>
      </c>
      <c r="E74" t="str">
        <f>+'Stage  Entry'!W16</f>
        <v>Shane Fielding</v>
      </c>
      <c r="F74" s="141">
        <f>+'Stage  Entry'!X16</f>
        <v>0.010023148148148147</v>
      </c>
      <c r="G74" s="18">
        <f t="shared" si="10"/>
        <v>3.6</v>
      </c>
    </row>
    <row r="75" spans="1:7" ht="12.75">
      <c r="A75" s="17">
        <f>COUNTIF(E$2:E75,E75)</f>
        <v>3</v>
      </c>
      <c r="B75" s="17">
        <v>4</v>
      </c>
      <c r="C75" s="17" t="str">
        <f t="shared" si="9"/>
        <v>Anthony Lee3</v>
      </c>
      <c r="D75" s="17">
        <v>9</v>
      </c>
      <c r="E75" t="str">
        <f>+'Stage  Entry'!W17</f>
        <v>Anthony Lee</v>
      </c>
      <c r="F75" s="141">
        <f>+'Stage  Entry'!X17</f>
        <v>0.009942129629629629</v>
      </c>
      <c r="G75" s="18">
        <f t="shared" si="10"/>
        <v>3.6</v>
      </c>
    </row>
    <row r="76" spans="1:7" ht="12.75">
      <c r="A76" s="17">
        <f>COUNTIF(E$2:E76,E76)</f>
        <v>3</v>
      </c>
      <c r="B76" s="17">
        <v>5</v>
      </c>
      <c r="C76" s="17" t="str">
        <f t="shared" si="9"/>
        <v>Troy Williams3</v>
      </c>
      <c r="D76" s="17">
        <v>9</v>
      </c>
      <c r="E76" t="str">
        <f>+'Stage  Entry'!W18</f>
        <v>Troy Williams</v>
      </c>
      <c r="F76" s="141">
        <f>+'Stage  Entry'!X18</f>
        <v>0.009710648148148147</v>
      </c>
      <c r="G76" s="18">
        <f t="shared" si="10"/>
        <v>3.6</v>
      </c>
    </row>
    <row r="77" spans="1:7" ht="12.75">
      <c r="A77" s="17">
        <f>COUNTIF(E$2:E77,E77)</f>
        <v>3</v>
      </c>
      <c r="B77" s="17">
        <v>6</v>
      </c>
      <c r="C77" s="17" t="str">
        <f t="shared" si="9"/>
        <v>David Venour3</v>
      </c>
      <c r="D77" s="17">
        <v>9</v>
      </c>
      <c r="E77" t="str">
        <f>+'Stage  Entry'!W19</f>
        <v>David Venour</v>
      </c>
      <c r="F77" s="141">
        <f>+'Stage  Entry'!X19</f>
        <v>0.010324074074074074</v>
      </c>
      <c r="G77" s="18">
        <f t="shared" si="10"/>
        <v>3.6</v>
      </c>
    </row>
    <row r="78" spans="1:7" ht="12.75">
      <c r="A78" s="17">
        <f>COUNTIF(E$2:E78,E78)</f>
        <v>3</v>
      </c>
      <c r="B78" s="17">
        <v>7</v>
      </c>
      <c r="C78" s="17" t="str">
        <f t="shared" si="9"/>
        <v>Matt Sandilands3</v>
      </c>
      <c r="D78" s="17">
        <v>9</v>
      </c>
      <c r="E78" t="str">
        <f>+'Stage  Entry'!W20</f>
        <v>Matt Sandilands</v>
      </c>
      <c r="F78" s="141">
        <f>+'Stage  Entry'!X20</f>
        <v>0.011157407407407408</v>
      </c>
      <c r="G78" s="18">
        <f t="shared" si="10"/>
        <v>3.6</v>
      </c>
    </row>
    <row r="79" spans="1:7" ht="12.75">
      <c r="A79" s="17">
        <f>COUNTIF(E$2:E79,E79)</f>
        <v>3</v>
      </c>
      <c r="B79" s="17">
        <v>1</v>
      </c>
      <c r="C79" s="17" t="str">
        <f t="shared" si="9"/>
        <v>Anthony Mithen3</v>
      </c>
      <c r="D79" s="17">
        <v>10</v>
      </c>
      <c r="E79" t="str">
        <f>+'Stage  Entry'!AB14</f>
        <v>Anthony Mithen</v>
      </c>
      <c r="F79" s="141">
        <f>+'Stage  Entry'!AC14</f>
        <v>0.0109375</v>
      </c>
      <c r="G79" s="18">
        <f aca="true" t="shared" si="11" ref="G79:G85">+Dist10</f>
        <v>4.45</v>
      </c>
    </row>
    <row r="80" spans="1:7" ht="12.75">
      <c r="A80" s="17">
        <f>COUNTIF(E$2:E80,E80)</f>
        <v>3</v>
      </c>
      <c r="B80" s="17">
        <v>2</v>
      </c>
      <c r="C80" s="17" t="str">
        <f t="shared" si="9"/>
        <v>Colin Thornton3</v>
      </c>
      <c r="D80" s="17">
        <v>10</v>
      </c>
      <c r="E80" t="str">
        <f>+'Stage  Entry'!AB15</f>
        <v>Colin Thornton</v>
      </c>
      <c r="F80" s="141">
        <f>+'Stage  Entry'!AC15</f>
        <v>0.010659722222222221</v>
      </c>
      <c r="G80" s="18">
        <f t="shared" si="11"/>
        <v>4.45</v>
      </c>
    </row>
    <row r="81" spans="1:7" ht="12.75">
      <c r="A81" s="17">
        <f>COUNTIF(E$2:E81,E81)</f>
        <v>3</v>
      </c>
      <c r="B81" s="17">
        <v>3</v>
      </c>
      <c r="C81" s="17" t="str">
        <f t="shared" si="9"/>
        <v>Brett Coleman3</v>
      </c>
      <c r="D81" s="17">
        <v>10</v>
      </c>
      <c r="E81" t="str">
        <f>+'Stage  Entry'!AB16</f>
        <v>Brett Coleman</v>
      </c>
      <c r="F81" s="141">
        <f>+'Stage  Entry'!AC16</f>
        <v>0.010185185185185184</v>
      </c>
      <c r="G81" s="18">
        <f t="shared" si="11"/>
        <v>4.45</v>
      </c>
    </row>
    <row r="82" spans="1:7" ht="12.75">
      <c r="A82" s="17">
        <f>COUNTIF(E$2:E82,E82)</f>
        <v>3</v>
      </c>
      <c r="B82" s="17">
        <v>4</v>
      </c>
      <c r="C82" s="17" t="str">
        <f t="shared" si="9"/>
        <v>Paul Martinico3</v>
      </c>
      <c r="D82" s="17">
        <v>10</v>
      </c>
      <c r="E82" t="str">
        <f>+'Stage  Entry'!AB17</f>
        <v>Paul Martinico</v>
      </c>
      <c r="F82" s="141">
        <f>+'Stage  Entry'!AC17</f>
        <v>0.009837962962962963</v>
      </c>
      <c r="G82" s="18">
        <f t="shared" si="11"/>
        <v>4.45</v>
      </c>
    </row>
    <row r="83" spans="1:7" ht="12.75">
      <c r="A83" s="17">
        <f>COUNTIF(E$2:E83,E83)</f>
        <v>3</v>
      </c>
      <c r="B83" s="17">
        <v>5</v>
      </c>
      <c r="C83" s="17" t="str">
        <f t="shared" si="9"/>
        <v>Nic Gilbert3</v>
      </c>
      <c r="D83" s="17">
        <v>10</v>
      </c>
      <c r="E83" t="str">
        <f>+'Stage  Entry'!AB18</f>
        <v>Nic Gilbert</v>
      </c>
      <c r="F83" s="141">
        <f>+'Stage  Entry'!AC18</f>
        <v>0.01050925925925926</v>
      </c>
      <c r="G83" s="18">
        <f t="shared" si="11"/>
        <v>4.45</v>
      </c>
    </row>
    <row r="84" spans="1:7" ht="12.75">
      <c r="A84" s="17">
        <f>COUNTIF(E$2:E84,E84)</f>
        <v>3</v>
      </c>
      <c r="B84" s="17">
        <v>6</v>
      </c>
      <c r="C84" s="17" t="str">
        <f t="shared" si="9"/>
        <v>Stephen Paine3</v>
      </c>
      <c r="D84" s="17">
        <v>10</v>
      </c>
      <c r="E84" t="str">
        <f>+'Stage  Entry'!AB19</f>
        <v>Stephen Paine</v>
      </c>
      <c r="F84" s="141">
        <f>+'Stage  Entry'!AC19</f>
        <v>0.01017361111111111</v>
      </c>
      <c r="G84" s="18">
        <f t="shared" si="11"/>
        <v>4.45</v>
      </c>
    </row>
    <row r="85" spans="1:7" ht="12.75">
      <c r="A85" s="17">
        <f>COUNTIF(E$2:E85,E85)</f>
        <v>4</v>
      </c>
      <c r="B85" s="17">
        <v>7</v>
      </c>
      <c r="C85" s="17" t="str">
        <f t="shared" si="9"/>
        <v>Juanita Liston4</v>
      </c>
      <c r="D85" s="17">
        <v>10</v>
      </c>
      <c r="E85" t="str">
        <f>+'Stage  Entry'!AB20</f>
        <v>Juanita Liston</v>
      </c>
      <c r="F85" s="141">
        <f>+'Stage  Entry'!AC20</f>
        <v>0.012291666666666666</v>
      </c>
      <c r="G85" s="18">
        <f t="shared" si="11"/>
        <v>4.45</v>
      </c>
    </row>
    <row r="86" spans="1:7" ht="12.75">
      <c r="A86" s="17">
        <f>COUNTIF(E$2:E86,E86)</f>
        <v>4</v>
      </c>
      <c r="B86" s="17">
        <v>1</v>
      </c>
      <c r="C86" s="17" t="str">
        <f t="shared" si="9"/>
        <v>Scott Bales4</v>
      </c>
      <c r="D86" s="17">
        <v>11</v>
      </c>
      <c r="E86" t="str">
        <f>+'Stage  Entry'!AG14</f>
        <v>Scott Bales</v>
      </c>
      <c r="F86" s="141">
        <f>+'Stage  Entry'!AH14</f>
        <v>0.010590277777777777</v>
      </c>
      <c r="G86" s="18">
        <f aca="true" t="shared" si="12" ref="G86:G92">+Dist11</f>
        <v>4</v>
      </c>
    </row>
    <row r="87" spans="1:7" ht="12.75">
      <c r="A87" s="17">
        <f>COUNTIF(E$2:E87,E87)</f>
        <v>4</v>
      </c>
      <c r="B87" s="17">
        <v>2</v>
      </c>
      <c r="C87" s="17" t="str">
        <f t="shared" si="9"/>
        <v>Bruce Arthur4</v>
      </c>
      <c r="D87" s="17">
        <v>11</v>
      </c>
      <c r="E87" t="str">
        <f>+'Stage  Entry'!AG15</f>
        <v>Bruce Arthur</v>
      </c>
      <c r="F87" s="141">
        <f>+'Stage  Entry'!AH15</f>
        <v>0.00917824074074074</v>
      </c>
      <c r="G87" s="18">
        <f t="shared" si="12"/>
        <v>4</v>
      </c>
    </row>
    <row r="88" spans="1:7" ht="12.75">
      <c r="A88" s="17">
        <f>COUNTIF(E$2:E88,E88)</f>
        <v>4</v>
      </c>
      <c r="B88" s="17">
        <v>3</v>
      </c>
      <c r="C88" s="17" t="str">
        <f t="shared" si="9"/>
        <v>Matt Lowth4</v>
      </c>
      <c r="D88" s="17">
        <v>11</v>
      </c>
      <c r="E88" t="str">
        <f>+'Stage  Entry'!AG16</f>
        <v>Matt Lowth</v>
      </c>
      <c r="F88" s="141">
        <f>+'Stage  Entry'!AH16</f>
        <v>0.011840277777777778</v>
      </c>
      <c r="G88" s="18">
        <f t="shared" si="12"/>
        <v>4</v>
      </c>
    </row>
    <row r="89" spans="1:7" ht="12.75">
      <c r="A89" s="17">
        <f>COUNTIF(E$2:E89,E89)</f>
        <v>4</v>
      </c>
      <c r="B89" s="17">
        <v>4</v>
      </c>
      <c r="C89" s="17" t="str">
        <f t="shared" si="9"/>
        <v>Craig Harris4</v>
      </c>
      <c r="D89" s="17">
        <v>11</v>
      </c>
      <c r="E89" t="str">
        <f>+'Stage  Entry'!AG17</f>
        <v>Craig Harris</v>
      </c>
      <c r="F89" s="141">
        <f>+'Stage  Entry'!AH17</f>
        <v>0.010729166666666666</v>
      </c>
      <c r="G89" s="18">
        <f t="shared" si="12"/>
        <v>4</v>
      </c>
    </row>
    <row r="90" spans="1:7" ht="12.75">
      <c r="A90" s="17">
        <f>COUNTIF(E$2:E90,E90)</f>
        <v>4</v>
      </c>
      <c r="B90" s="17">
        <v>5</v>
      </c>
      <c r="C90" s="17" t="str">
        <f t="shared" si="9"/>
        <v>Tony Dell4</v>
      </c>
      <c r="D90" s="17">
        <v>11</v>
      </c>
      <c r="E90" t="str">
        <f>+'Stage  Entry'!AG18</f>
        <v>Tony Dell</v>
      </c>
      <c r="F90" s="141">
        <f>+'Stage  Entry'!AH18</f>
        <v>0.010185185185185184</v>
      </c>
      <c r="G90" s="18">
        <f t="shared" si="12"/>
        <v>4</v>
      </c>
    </row>
    <row r="91" spans="1:7" ht="12.75">
      <c r="A91" s="17">
        <f>COUNTIF(E$2:E91,E91)</f>
        <v>4</v>
      </c>
      <c r="B91" s="17">
        <v>6</v>
      </c>
      <c r="C91" s="17" t="str">
        <f t="shared" si="9"/>
        <v>Luke Goodman4</v>
      </c>
      <c r="D91" s="17">
        <v>11</v>
      </c>
      <c r="E91" t="str">
        <f>+'Stage  Entry'!AG19</f>
        <v>Luke Goodman</v>
      </c>
      <c r="F91" s="141">
        <f>+'Stage  Entry'!AH19</f>
        <v>0.010405092592592593</v>
      </c>
      <c r="G91" s="18">
        <f t="shared" si="12"/>
        <v>4</v>
      </c>
    </row>
    <row r="92" spans="1:7" ht="12.75">
      <c r="A92" s="17">
        <f>COUNTIF(E$2:E92,E92)</f>
        <v>4</v>
      </c>
      <c r="B92" s="17">
        <v>7</v>
      </c>
      <c r="C92" s="17" t="str">
        <f t="shared" si="9"/>
        <v>Gary O'Dwyer4</v>
      </c>
      <c r="D92" s="17">
        <v>11</v>
      </c>
      <c r="E92" t="str">
        <f>+'Stage  Entry'!AG20</f>
        <v>Gary O'Dwyer</v>
      </c>
      <c r="F92" s="141">
        <f>+'Stage  Entry'!AH20</f>
        <v>0.009768518518518518</v>
      </c>
      <c r="G92" s="18">
        <f t="shared" si="12"/>
        <v>4</v>
      </c>
    </row>
    <row r="93" spans="1:7" ht="12.75">
      <c r="A93" s="17">
        <f>COUNTIF(E$2:E93,E93)</f>
        <v>4</v>
      </c>
      <c r="B93" s="17">
        <v>1</v>
      </c>
      <c r="C93" s="17" t="str">
        <f t="shared" si="9"/>
        <v>Wayne Williams4</v>
      </c>
      <c r="D93" s="17">
        <v>12</v>
      </c>
      <c r="E93" t="str">
        <f>+'Stage  Entry'!AL14</f>
        <v>Wayne Williams</v>
      </c>
      <c r="F93" s="141">
        <f>+'Stage  Entry'!AM14</f>
        <v>0.011504629629629629</v>
      </c>
      <c r="G93" s="18">
        <f aca="true" t="shared" si="13" ref="G93:G99">+Dist12</f>
        <v>4</v>
      </c>
    </row>
    <row r="94" spans="1:7" ht="12.75">
      <c r="A94" s="17">
        <f>COUNTIF(E$2:E94,E94)</f>
        <v>4</v>
      </c>
      <c r="B94" s="17">
        <v>2</v>
      </c>
      <c r="C94" s="17" t="str">
        <f t="shared" si="9"/>
        <v>Anthony Weiland4</v>
      </c>
      <c r="D94" s="17">
        <v>12</v>
      </c>
      <c r="E94" t="str">
        <f>+'Stage  Entry'!AL15</f>
        <v>Anthony Weiland</v>
      </c>
      <c r="F94" s="141">
        <f>+'Stage  Entry'!AM15</f>
        <v>0.011747685185185186</v>
      </c>
      <c r="G94" s="18">
        <f t="shared" si="13"/>
        <v>4</v>
      </c>
    </row>
    <row r="95" spans="1:7" ht="12.75">
      <c r="A95" s="17">
        <f>COUNTIF(E$2:E95,E95)</f>
        <v>4</v>
      </c>
      <c r="B95" s="17">
        <v>3</v>
      </c>
      <c r="C95" s="17" t="str">
        <f t="shared" si="9"/>
        <v>Shane Fielding4</v>
      </c>
      <c r="D95" s="17">
        <v>12</v>
      </c>
      <c r="E95" t="str">
        <f>+'Stage  Entry'!AL16</f>
        <v>Shane Fielding</v>
      </c>
      <c r="F95" s="141">
        <f>+'Stage  Entry'!AM16</f>
        <v>0.011157407407407408</v>
      </c>
      <c r="G95" s="18">
        <f t="shared" si="13"/>
        <v>4</v>
      </c>
    </row>
    <row r="96" spans="1:7" ht="12.75">
      <c r="A96" s="17">
        <f>COUNTIF(E$2:E96,E96)</f>
        <v>4</v>
      </c>
      <c r="B96" s="17">
        <v>4</v>
      </c>
      <c r="C96" s="17" t="str">
        <f t="shared" si="9"/>
        <v>Paul Martinico4</v>
      </c>
      <c r="D96" s="17">
        <v>12</v>
      </c>
      <c r="E96" t="str">
        <f>+'Stage  Entry'!AL17</f>
        <v>Paul Martinico</v>
      </c>
      <c r="F96" s="141">
        <f>+'Stage  Entry'!AM17</f>
        <v>0.010578703703703703</v>
      </c>
      <c r="G96" s="18">
        <f t="shared" si="13"/>
        <v>4</v>
      </c>
    </row>
    <row r="97" spans="1:7" ht="12.75">
      <c r="A97" s="17">
        <f>COUNTIF(E$2:E97,E97)</f>
        <v>4</v>
      </c>
      <c r="B97" s="17">
        <v>5</v>
      </c>
      <c r="C97" s="17" t="str">
        <f t="shared" si="9"/>
        <v>Nic Gilbert4</v>
      </c>
      <c r="D97" s="17">
        <v>12</v>
      </c>
      <c r="E97" t="str">
        <f>+'Stage  Entry'!AL18</f>
        <v>Nic Gilbert</v>
      </c>
      <c r="F97" s="141">
        <f>+'Stage  Entry'!AM18</f>
        <v>0.011226851851851854</v>
      </c>
      <c r="G97" s="18">
        <f t="shared" si="13"/>
        <v>4</v>
      </c>
    </row>
    <row r="98" spans="1:7" ht="12.75">
      <c r="A98" s="17">
        <f>COUNTIF(E$2:E98,E98)</f>
        <v>4</v>
      </c>
      <c r="B98" s="17">
        <v>6</v>
      </c>
      <c r="C98" s="17" t="str">
        <f t="shared" si="9"/>
        <v>David Venour4</v>
      </c>
      <c r="D98" s="17">
        <v>12</v>
      </c>
      <c r="E98" t="str">
        <f>+'Stage  Entry'!AL19</f>
        <v>David Venour</v>
      </c>
      <c r="F98" s="141">
        <f>+'Stage  Entry'!AM19</f>
        <v>0.011226851851851854</v>
      </c>
      <c r="G98" s="18">
        <f t="shared" si="13"/>
        <v>4</v>
      </c>
    </row>
    <row r="99" spans="1:7" ht="12.75">
      <c r="A99" s="17">
        <f>COUNTIF(E$2:E99,E99)</f>
        <v>3</v>
      </c>
      <c r="B99" s="17">
        <v>7</v>
      </c>
      <c r="C99" s="17" t="str">
        <f t="shared" si="9"/>
        <v>Richard Does3</v>
      </c>
      <c r="D99" s="17">
        <v>12</v>
      </c>
      <c r="E99" t="str">
        <f>+'Stage  Entry'!AL20</f>
        <v>Richard Does</v>
      </c>
      <c r="F99" s="141">
        <f>+'Stage  Entry'!AM20</f>
        <v>0.011215277777777777</v>
      </c>
      <c r="G99" s="18">
        <f t="shared" si="13"/>
        <v>4</v>
      </c>
    </row>
    <row r="100" spans="1:7" ht="12.75">
      <c r="A100" s="17">
        <f>COUNTIF(E$2:E100,E100)</f>
        <v>4</v>
      </c>
      <c r="B100" s="17">
        <v>1</v>
      </c>
      <c r="C100" s="17" t="str">
        <f t="shared" si="9"/>
        <v>Dan Hornery4</v>
      </c>
      <c r="D100" s="17">
        <v>13</v>
      </c>
      <c r="E100" t="str">
        <f>+'Stage  Entry'!AQ14</f>
        <v>Dan Hornery</v>
      </c>
      <c r="F100" s="141">
        <f>+'Stage  Entry'!AR14</f>
        <v>0.010300925925925927</v>
      </c>
      <c r="G100" s="18">
        <f aca="true" t="shared" si="14" ref="G100:G106">+Dist13</f>
        <v>4.5</v>
      </c>
    </row>
    <row r="101" spans="1:7" ht="12.75">
      <c r="A101" s="17">
        <f>COUNTIF(E$2:E101,E101)</f>
        <v>4</v>
      </c>
      <c r="B101" s="17">
        <v>2</v>
      </c>
      <c r="C101" s="17" t="str">
        <f t="shared" si="9"/>
        <v>Colin Thornton4</v>
      </c>
      <c r="D101" s="17">
        <v>13</v>
      </c>
      <c r="E101" t="str">
        <f>+'Stage  Entry'!AQ15</f>
        <v>Colin Thornton</v>
      </c>
      <c r="F101" s="141">
        <f>+'Stage  Entry'!AR15</f>
        <v>0.011111111111111112</v>
      </c>
      <c r="G101" s="18">
        <f t="shared" si="14"/>
        <v>4.5</v>
      </c>
    </row>
    <row r="102" spans="1:7" ht="12.75">
      <c r="A102" s="17">
        <f>COUNTIF(E$2:E102,E102)</f>
        <v>4</v>
      </c>
      <c r="B102" s="17">
        <v>3</v>
      </c>
      <c r="C102" s="17" t="str">
        <f t="shared" si="9"/>
        <v>Brett Coleman4</v>
      </c>
      <c r="D102" s="17">
        <v>13</v>
      </c>
      <c r="E102" t="str">
        <f>+'Stage  Entry'!AQ16</f>
        <v>Brett Coleman</v>
      </c>
      <c r="F102" s="141">
        <f>+'Stage  Entry'!AR16</f>
        <v>0.011273148148148148</v>
      </c>
      <c r="G102" s="18">
        <f t="shared" si="14"/>
        <v>4.5</v>
      </c>
    </row>
    <row r="103" spans="1:7" ht="12.75">
      <c r="A103" s="17">
        <f>COUNTIF(E$2:E103,E103)</f>
        <v>4</v>
      </c>
      <c r="B103" s="17">
        <v>4</v>
      </c>
      <c r="C103" s="17" t="str">
        <f t="shared" si="9"/>
        <v>Anthony Lee4</v>
      </c>
      <c r="D103" s="17">
        <v>13</v>
      </c>
      <c r="E103" t="str">
        <f>+'Stage  Entry'!AQ17</f>
        <v>Anthony Lee</v>
      </c>
      <c r="F103" s="141">
        <f>+'Stage  Entry'!AR17</f>
        <v>0.011458333333333334</v>
      </c>
      <c r="G103" s="18">
        <f t="shared" si="14"/>
        <v>4.5</v>
      </c>
    </row>
    <row r="104" spans="1:7" ht="12.75">
      <c r="A104" s="17">
        <f>COUNTIF(E$2:E104,E104)</f>
        <v>4</v>
      </c>
      <c r="B104" s="17">
        <v>5</v>
      </c>
      <c r="C104" s="17" t="str">
        <f t="shared" si="9"/>
        <v>Troy Williams4</v>
      </c>
      <c r="D104" s="17">
        <v>13</v>
      </c>
      <c r="E104" t="str">
        <f>+'Stage  Entry'!AQ18</f>
        <v>Troy Williams</v>
      </c>
      <c r="F104" s="141">
        <f>+'Stage  Entry'!AR18</f>
        <v>0.010659722222222221</v>
      </c>
      <c r="G104" s="18">
        <f t="shared" si="14"/>
        <v>4.5</v>
      </c>
    </row>
    <row r="105" spans="1:7" ht="12.75">
      <c r="A105" s="17">
        <f>COUNTIF(E$2:E105,E105)</f>
        <v>4</v>
      </c>
      <c r="B105" s="17">
        <v>6</v>
      </c>
      <c r="C105" s="17" t="str">
        <f t="shared" si="9"/>
        <v>Stephen Paine4</v>
      </c>
      <c r="D105" s="17">
        <v>13</v>
      </c>
      <c r="E105" t="str">
        <f>+'Stage  Entry'!AQ19</f>
        <v>Stephen Paine</v>
      </c>
      <c r="F105" s="141">
        <f>+'Stage  Entry'!AR19</f>
        <v>0.010775462962962964</v>
      </c>
      <c r="G105" s="18">
        <f t="shared" si="14"/>
        <v>4.5</v>
      </c>
    </row>
    <row r="106" spans="1:7" ht="12.75">
      <c r="A106" s="17">
        <f>COUNTIF(E$2:E106,E106)</f>
        <v>4</v>
      </c>
      <c r="B106" s="17">
        <v>7</v>
      </c>
      <c r="C106" s="17" t="str">
        <f t="shared" si="9"/>
        <v>Matt Sandilands4</v>
      </c>
      <c r="D106" s="17">
        <v>13</v>
      </c>
      <c r="E106" t="str">
        <f>+'Stage  Entry'!AQ20</f>
        <v>Matt Sandilands</v>
      </c>
      <c r="F106" s="141">
        <f>+'Stage  Entry'!AR20</f>
        <v>0.013113425925925926</v>
      </c>
      <c r="G106" s="18">
        <f t="shared" si="14"/>
        <v>4.5</v>
      </c>
    </row>
    <row r="107" spans="1:7" ht="12.75">
      <c r="A107" s="17">
        <f>COUNTIF(E$2:E107,E107)</f>
        <v>4</v>
      </c>
      <c r="B107" s="17">
        <v>1</v>
      </c>
      <c r="C107" s="17" t="str">
        <f t="shared" si="9"/>
        <v>Anthony Mithen4</v>
      </c>
      <c r="D107" s="17">
        <v>14</v>
      </c>
      <c r="E107" t="str">
        <f>+'Stage  Entry'!AV14</f>
        <v>Anthony Mithen</v>
      </c>
      <c r="F107" s="141">
        <f>+'Stage  Entry'!AW14</f>
        <v>0.009641203703703704</v>
      </c>
      <c r="G107" s="18">
        <f aca="true" t="shared" si="15" ref="G107:G113">+Dist14</f>
        <v>3.7</v>
      </c>
    </row>
    <row r="108" spans="1:7" ht="12.75">
      <c r="A108" s="17">
        <f>COUNTIF(E$2:E108,E108)</f>
        <v>4</v>
      </c>
      <c r="B108" s="17">
        <v>2</v>
      </c>
      <c r="C108" s="17" t="str">
        <f t="shared" si="9"/>
        <v>Jim Grelis4</v>
      </c>
      <c r="D108" s="17">
        <v>14</v>
      </c>
      <c r="E108" t="str">
        <f>+'Stage  Entry'!AV15</f>
        <v>Jim Grelis</v>
      </c>
      <c r="F108" s="141">
        <f>+'Stage  Entry'!AW15</f>
        <v>0.012025462962962962</v>
      </c>
      <c r="G108" s="18">
        <f t="shared" si="15"/>
        <v>3.7</v>
      </c>
    </row>
    <row r="109" spans="1:7" ht="12.75">
      <c r="A109" s="17">
        <f>COUNTIF(E$2:E109,E109)</f>
        <v>4</v>
      </c>
      <c r="B109" s="17">
        <v>3</v>
      </c>
      <c r="C109" s="17" t="str">
        <f t="shared" si="9"/>
        <v>Charles Chambers4</v>
      </c>
      <c r="D109" s="17">
        <v>14</v>
      </c>
      <c r="E109" t="str">
        <f>+'Stage  Entry'!AV16</f>
        <v>Charles Chambers</v>
      </c>
      <c r="F109" s="141">
        <f>+'Stage  Entry'!AW16</f>
        <v>0.009525462962962963</v>
      </c>
      <c r="G109" s="18">
        <f t="shared" si="15"/>
        <v>3.7</v>
      </c>
    </row>
    <row r="110" spans="1:7" ht="12.75">
      <c r="A110" s="17">
        <f>COUNTIF(E$2:E110,E110)</f>
        <v>4</v>
      </c>
      <c r="B110" s="17">
        <v>4</v>
      </c>
      <c r="C110" s="17" t="str">
        <f t="shared" si="9"/>
        <v>Ian Dent4</v>
      </c>
      <c r="D110" s="17">
        <v>14</v>
      </c>
      <c r="E110" t="str">
        <f>+'Stage  Entry'!AV17</f>
        <v>Ian Dent</v>
      </c>
      <c r="F110" s="141">
        <f>+'Stage  Entry'!AW17</f>
        <v>0.009421296296296296</v>
      </c>
      <c r="G110" s="18">
        <f t="shared" si="15"/>
        <v>3.7</v>
      </c>
    </row>
    <row r="111" spans="1:7" ht="12.75">
      <c r="A111" s="17">
        <f>COUNTIF(E$2:E111,E111)</f>
        <v>4</v>
      </c>
      <c r="B111" s="17">
        <v>5</v>
      </c>
      <c r="C111" s="17" t="str">
        <f t="shared" si="9"/>
        <v>Kirsten Jackson4</v>
      </c>
      <c r="D111" s="17">
        <v>14</v>
      </c>
      <c r="E111" t="str">
        <f>+'Stage  Entry'!AV18</f>
        <v>Kirsten Jackson</v>
      </c>
      <c r="F111" s="141">
        <f>+'Stage  Entry'!AW18</f>
        <v>0.01087962962962963</v>
      </c>
      <c r="G111" s="18">
        <f t="shared" si="15"/>
        <v>3.7</v>
      </c>
    </row>
    <row r="112" spans="1:7" ht="12.75">
      <c r="A112" s="17">
        <f>COUNTIF(E$2:E112,E112)</f>
        <v>4</v>
      </c>
      <c r="B112" s="17">
        <v>6</v>
      </c>
      <c r="C112" s="17" t="str">
        <f t="shared" si="9"/>
        <v>Thai Phan4</v>
      </c>
      <c r="D112" s="17">
        <v>14</v>
      </c>
      <c r="E112" t="str">
        <f>+'Stage  Entry'!AV19</f>
        <v>Thai Phan</v>
      </c>
      <c r="F112" s="141">
        <f>+'Stage  Entry'!AW19</f>
        <v>0.010231481481481482</v>
      </c>
      <c r="G112" s="18">
        <f t="shared" si="15"/>
        <v>3.7</v>
      </c>
    </row>
    <row r="113" spans="1:7" ht="12.75">
      <c r="A113" s="17">
        <f>COUNTIF(E$2:E113,E113)</f>
        <v>4</v>
      </c>
      <c r="B113" s="17">
        <v>7</v>
      </c>
      <c r="C113" s="17" t="str">
        <f t="shared" si="9"/>
        <v>Richard Does4</v>
      </c>
      <c r="D113" s="17">
        <v>14</v>
      </c>
      <c r="E113" t="str">
        <f>+'Stage  Entry'!AV20</f>
        <v>Richard Does</v>
      </c>
      <c r="F113" s="141">
        <f>+'Stage  Entry'!AW20</f>
        <v>0.009039351851851852</v>
      </c>
      <c r="G113" s="18">
        <f t="shared" si="15"/>
        <v>3.7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Mathews</dc:creator>
  <cp:keywords/>
  <dc:description/>
  <cp:lastModifiedBy>anthony-lee</cp:lastModifiedBy>
  <cp:lastPrinted>2007-11-04T21:20:19Z</cp:lastPrinted>
  <dcterms:created xsi:type="dcterms:W3CDTF">2001-03-07T08:50:40Z</dcterms:created>
  <dcterms:modified xsi:type="dcterms:W3CDTF">2007-11-09T00:50:51Z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