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478" activeTab="0"/>
  </bookViews>
  <sheets>
    <sheet name="Team Selection" sheetId="1" r:id="rId1"/>
    <sheet name="Stage  Entry" sheetId="2" r:id="rId2"/>
    <sheet name="Teams by Stage" sheetId="3" r:id="rId3"/>
    <sheet name="Stage-by-Stage" sheetId="4" r:id="rId4"/>
    <sheet name="Runner Performance" sheetId="5" r:id="rId5"/>
    <sheet name="Data" sheetId="6" r:id="rId6"/>
  </sheets>
  <definedNames>
    <definedName name="Dist1">'Stage  Entry'!$I$2</definedName>
    <definedName name="Dist10">'Stage  Entry'!$X$12</definedName>
    <definedName name="Dist11">'Stage  Entry'!$AC$12</definedName>
    <definedName name="Dist12">'Stage  Entry'!$AH$12</definedName>
    <definedName name="Dist13">'Stage  Entry'!$AM$12</definedName>
    <definedName name="Dist14">'Stage  Entry'!$AR$12</definedName>
    <definedName name="Dist2">'Stage  Entry'!$S$2</definedName>
    <definedName name="Dist3">'Stage  Entry'!$X$2</definedName>
    <definedName name="Dist4">'Stage  Entry'!$AC$2</definedName>
    <definedName name="Dist5">'Stage  Entry'!$AH$2</definedName>
    <definedName name="Dist6">'Stage  Entry'!$AM$2</definedName>
    <definedName name="Dist7">'Stage  Entry'!$AR$2</definedName>
    <definedName name="Dist8">'Stage  Entry'!$I$12</definedName>
    <definedName name="Dist9">'Stage  Entry'!$S$12</definedName>
    <definedName name="_xlnm.Print_Area" localSheetId="1">'Stage  Entry'!$A$1:$AY$18</definedName>
    <definedName name="_xlnm.Print_Area" localSheetId="0">'Team Selection'!$B$1:$J$9</definedName>
    <definedName name="_xlnm.Print_Titles" localSheetId="1">'Stage  Entry'!$A:$G</definedName>
    <definedName name="RunnerName">#REF!</definedName>
    <definedName name="Stage">#REF!</definedName>
    <definedName name="Stage1">#REF!</definedName>
    <definedName name="Stage10">#REF!</definedName>
    <definedName name="Stage11">#REF!</definedName>
    <definedName name="Stage12">#REF!</definedName>
    <definedName name="Stage13">#REF!</definedName>
    <definedName name="Stage14">#REF!</definedName>
    <definedName name="Stage15">#REF!</definedName>
    <definedName name="Stage16">#REF!</definedName>
    <definedName name="Stage2">#REF!</definedName>
    <definedName name="Stage3">#REF!</definedName>
    <definedName name="Stage4">#REF!</definedName>
    <definedName name="Stage5">#REF!</definedName>
    <definedName name="Stage6">#REF!</definedName>
    <definedName name="Stage7">#REF!</definedName>
    <definedName name="Stage8">#REF!</definedName>
    <definedName name="Stage9">#REF!</definedName>
    <definedName name="Team1">'Team Selection'!$D$3:$J$3</definedName>
    <definedName name="Team1Result">#REF!</definedName>
    <definedName name="Team1Runner1">#REF!</definedName>
    <definedName name="Team1Runner2">#REF!</definedName>
    <definedName name="Team1Runner3">#REF!</definedName>
    <definedName name="Team1Runner4">#REF!</definedName>
    <definedName name="Team2">'Team Selection'!$D$4:$J$4</definedName>
    <definedName name="Team2Result">#REF!</definedName>
    <definedName name="Team2Runner1">#REF!</definedName>
    <definedName name="Team2Runner2">#REF!</definedName>
    <definedName name="Team2Runner3">#REF!</definedName>
    <definedName name="Team2Runner4">#REF!</definedName>
    <definedName name="Team3">'Team Selection'!$D$5:$J$5</definedName>
    <definedName name="Team3Result">#REF!</definedName>
    <definedName name="Team3Runner1">#REF!</definedName>
    <definedName name="Team3Runner2">#REF!</definedName>
    <definedName name="Team3Runner3">#REF!</definedName>
    <definedName name="Team3Runner4">#REF!</definedName>
    <definedName name="Team4">'Team Selection'!$D$6:$J$6</definedName>
    <definedName name="Team4Result">#REF!</definedName>
    <definedName name="Team4Runner1">#REF!</definedName>
    <definedName name="Team4Runner2">#REF!</definedName>
    <definedName name="Team4Runner3">#REF!</definedName>
    <definedName name="Team4Runner4">#REF!</definedName>
    <definedName name="Team5">'Team Selection'!#REF!</definedName>
    <definedName name="Team5Result">#REF!</definedName>
    <definedName name="Team5Runner1">#REF!</definedName>
    <definedName name="Team5Runner2">#REF!</definedName>
    <definedName name="Team5Runner3">#REF!</definedName>
    <definedName name="Team5Runner4">#REF!</definedName>
    <definedName name="Team6">'Team Selection'!#REF!</definedName>
    <definedName name="Team6Result">#REF!</definedName>
    <definedName name="Team6Runner1">#REF!</definedName>
    <definedName name="Team6Runner2">#REF!</definedName>
    <definedName name="Team6Runner3">#REF!</definedName>
    <definedName name="Team6Runner4">#REF!</definedName>
  </definedNames>
  <calcPr fullCalcOnLoad="1"/>
</workbook>
</file>

<file path=xl/sharedStrings.xml><?xml version="1.0" encoding="utf-8"?>
<sst xmlns="http://schemas.openxmlformats.org/spreadsheetml/2006/main" count="477" uniqueCount="86">
  <si>
    <t>Team</t>
  </si>
  <si>
    <t>2nd Runner</t>
  </si>
  <si>
    <t>3rd Runner</t>
  </si>
  <si>
    <t>4th Runner</t>
  </si>
  <si>
    <t>1st Runner</t>
  </si>
  <si>
    <t>Stage 1</t>
  </si>
  <si>
    <t>Runner</t>
  </si>
  <si>
    <t>Time</t>
  </si>
  <si>
    <t>min/km</t>
  </si>
  <si>
    <t>km</t>
  </si>
  <si>
    <t>Rank</t>
  </si>
  <si>
    <t>Stage</t>
  </si>
  <si>
    <t>Stage 2</t>
  </si>
  <si>
    <t>Stage 3</t>
  </si>
  <si>
    <t>Stage 4</t>
  </si>
  <si>
    <t>Stage 5</t>
  </si>
  <si>
    <t>Stage 6</t>
  </si>
  <si>
    <t>Stage 7</t>
  </si>
  <si>
    <t>Stage 8</t>
  </si>
  <si>
    <t xml:space="preserve">Overall </t>
  </si>
  <si>
    <t xml:space="preserve">Morning </t>
  </si>
  <si>
    <t>Stage 9</t>
  </si>
  <si>
    <t>Stage 10</t>
  </si>
  <si>
    <t>Stage 11</t>
  </si>
  <si>
    <t>Stage 12</t>
  </si>
  <si>
    <t>Stage 13</t>
  </si>
  <si>
    <t>Stage 14</t>
  </si>
  <si>
    <t xml:space="preserve">A/noon </t>
  </si>
  <si>
    <t>Ones</t>
  </si>
  <si>
    <t>Twos</t>
  </si>
  <si>
    <t>Threes</t>
  </si>
  <si>
    <t>Fours</t>
  </si>
  <si>
    <t>Dist</t>
  </si>
  <si>
    <t>Run 1</t>
  </si>
  <si>
    <t>Run 2</t>
  </si>
  <si>
    <t>Run 3</t>
  </si>
  <si>
    <t>Run 4</t>
  </si>
  <si>
    <t>Name</t>
  </si>
  <si>
    <t>Distance</t>
  </si>
  <si>
    <t>Total</t>
  </si>
  <si>
    <t>Average</t>
  </si>
  <si>
    <t>Cumulative</t>
  </si>
  <si>
    <t>Margin</t>
  </si>
  <si>
    <t>Place</t>
  </si>
  <si>
    <t>Team Name</t>
  </si>
  <si>
    <t>David Venour</t>
  </si>
  <si>
    <t>Troy Williams</t>
  </si>
  <si>
    <t>Anthony Mithen</t>
  </si>
  <si>
    <t>Shane Fielding</t>
  </si>
  <si>
    <t>Count Name</t>
  </si>
  <si>
    <t>Seeding Order</t>
  </si>
  <si>
    <t>Selection Metric?</t>
  </si>
  <si>
    <t>Stephen Paine</t>
  </si>
  <si>
    <t>Glenn Goodman</t>
  </si>
  <si>
    <t>Stage 15</t>
  </si>
  <si>
    <t>Stage 16</t>
  </si>
  <si>
    <t>Stage 1-4</t>
  </si>
  <si>
    <t>Mark Deslandes</t>
  </si>
  <si>
    <t>Andrew Coles</t>
  </si>
  <si>
    <t>Simon Duffy</t>
  </si>
  <si>
    <t>Dave Percival</t>
  </si>
  <si>
    <t>Rory Heddles</t>
  </si>
  <si>
    <t>Thai Phan</t>
  </si>
  <si>
    <t>Kirsten Jackson</t>
  </si>
  <si>
    <t>Bruce Arthur</t>
  </si>
  <si>
    <t>A Wookie &amp; 4 Ewoks</t>
  </si>
  <si>
    <t>Troys Terrors</t>
  </si>
  <si>
    <t>Green Machine</t>
  </si>
  <si>
    <t>Purple Patch</t>
  </si>
  <si>
    <t>All The Presidents Men</t>
  </si>
  <si>
    <t>White Lightening</t>
  </si>
  <si>
    <t>Mitho's Fab Four</t>
  </si>
  <si>
    <t>Chris Wright</t>
  </si>
  <si>
    <t>Selim Ahmed</t>
  </si>
  <si>
    <t>Steve Miller</t>
  </si>
  <si>
    <t>Norval Hope</t>
  </si>
  <si>
    <t>Matt Clark</t>
  </si>
  <si>
    <t>Terry Wright</t>
  </si>
  <si>
    <t>Gary O'Dwyer</t>
  </si>
  <si>
    <t>Michael Carney</t>
  </si>
  <si>
    <t>John Hand</t>
  </si>
  <si>
    <t>Hugh Hunter</t>
  </si>
  <si>
    <t>Yin Kuan Ho</t>
  </si>
  <si>
    <t>Shirley Ching</t>
  </si>
  <si>
    <t>Emma Tinning</t>
  </si>
  <si>
    <t>Mark P &amp; Max H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</si>
</sst>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"/>
    <numFmt numFmtId="173" formatCode="\ \ \ General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2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55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sz val="8"/>
      <color indexed="12"/>
      <name val="Tahoma"/>
      <family val="2"/>
    </font>
    <font>
      <b/>
      <sz val="12"/>
      <name val="Arial"/>
      <family val="0"/>
    </font>
    <font>
      <b/>
      <sz val="10"/>
      <name val="Arial"/>
      <family val="0"/>
    </font>
    <font>
      <sz val="11"/>
      <name val="Century Gothic"/>
      <family val="2"/>
    </font>
    <font>
      <sz val="10"/>
      <color indexed="22"/>
      <name val="Tahoma"/>
      <family val="2"/>
    </font>
    <font>
      <sz val="8"/>
      <color indexed="12"/>
      <name val="Tahoma"/>
      <family val="2"/>
    </font>
    <font>
      <sz val="10"/>
      <color indexed="10"/>
      <name val="Arial"/>
      <family val="0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u val="single"/>
      <sz val="10"/>
      <color indexed="23"/>
      <name val="Tahoma"/>
      <family val="2"/>
    </font>
    <font>
      <b/>
      <sz val="10"/>
      <color indexed="23"/>
      <name val="Tahoma"/>
      <family val="2"/>
    </font>
    <font>
      <sz val="10"/>
      <color indexed="23"/>
      <name val="Tahoma"/>
      <family val="2"/>
    </font>
    <font>
      <b/>
      <sz val="10"/>
      <color indexed="23"/>
      <name val="Webdings"/>
      <family val="1"/>
    </font>
    <font>
      <b/>
      <i/>
      <sz val="10"/>
      <color indexed="12"/>
      <name val="Tahoma"/>
      <family val="2"/>
    </font>
    <font>
      <i/>
      <sz val="10"/>
      <name val="Arial"/>
      <family val="0"/>
    </font>
    <font>
      <b/>
      <i/>
      <sz val="8"/>
      <color indexed="12"/>
      <name val="Tahoma"/>
      <family val="2"/>
    </font>
    <font>
      <i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2" fontId="2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2" fontId="1" fillId="0" borderId="4" xfId="0" applyNumberFormat="1" applyFont="1" applyBorder="1" applyAlignment="1">
      <alignment horizontal="centerContinuous"/>
    </xf>
    <xf numFmtId="172" fontId="2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Continuous"/>
    </xf>
    <xf numFmtId="2" fontId="2" fillId="0" borderId="3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 horizontal="centerContinuous"/>
    </xf>
    <xf numFmtId="172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2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72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Continuous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vertical="center"/>
    </xf>
    <xf numFmtId="0" fontId="10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4" fillId="3" borderId="0" xfId="0" applyFont="1" applyFill="1" applyBorder="1" applyAlignment="1" applyProtection="1">
      <alignment horizontal="center" vertical="center"/>
      <protection/>
    </xf>
    <xf numFmtId="1" fontId="4" fillId="3" borderId="0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vertical="center"/>
      <protection/>
    </xf>
    <xf numFmtId="2" fontId="4" fillId="3" borderId="0" xfId="0" applyNumberFormat="1" applyFont="1" applyFill="1" applyBorder="1" applyAlignment="1" applyProtection="1">
      <alignment horizontal="right" vertical="center"/>
      <protection/>
    </xf>
    <xf numFmtId="0" fontId="4" fillId="3" borderId="0" xfId="0" applyFont="1" applyFill="1" applyBorder="1" applyAlignment="1" applyProtection="1">
      <alignment horizontal="left" vertical="center"/>
      <protection/>
    </xf>
    <xf numFmtId="0" fontId="5" fillId="3" borderId="0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2" fontId="5" fillId="3" borderId="0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vertical="center"/>
      <protection/>
    </xf>
    <xf numFmtId="45" fontId="2" fillId="3" borderId="0" xfId="0" applyNumberFormat="1" applyFont="1" applyFill="1" applyBorder="1" applyAlignment="1" applyProtection="1">
      <alignment horizontal="center" vertical="center"/>
      <protection/>
    </xf>
    <xf numFmtId="172" fontId="2" fillId="3" borderId="0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center"/>
      <protection/>
    </xf>
    <xf numFmtId="1" fontId="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2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2" fontId="2" fillId="3" borderId="0" xfId="0" applyNumberFormat="1" applyFont="1" applyFill="1" applyAlignment="1" applyProtection="1">
      <alignment/>
      <protection/>
    </xf>
    <xf numFmtId="0" fontId="4" fillId="4" borderId="12" xfId="0" applyFont="1" applyFill="1" applyBorder="1" applyAlignment="1" applyProtection="1">
      <alignment horizontal="left" vertical="center"/>
      <protection/>
    </xf>
    <xf numFmtId="0" fontId="4" fillId="4" borderId="3" xfId="0" applyFont="1" applyFill="1" applyBorder="1" applyAlignment="1" applyProtection="1">
      <alignment horizontal="center" vertical="center"/>
      <protection/>
    </xf>
    <xf numFmtId="1" fontId="6" fillId="4" borderId="3" xfId="0" applyNumberFormat="1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 applyProtection="1">
      <alignment horizontal="left" vertical="center"/>
      <protection/>
    </xf>
    <xf numFmtId="21" fontId="1" fillId="4" borderId="3" xfId="0" applyNumberFormat="1" applyFont="1" applyFill="1" applyBorder="1" applyAlignment="1" applyProtection="1">
      <alignment horizontal="center" vertical="center"/>
      <protection/>
    </xf>
    <xf numFmtId="1" fontId="1" fillId="4" borderId="3" xfId="0" applyNumberFormat="1" applyFont="1" applyFill="1" applyBorder="1" applyAlignment="1" applyProtection="1">
      <alignment horizontal="center" vertical="center"/>
      <protection/>
    </xf>
    <xf numFmtId="2" fontId="4" fillId="4" borderId="13" xfId="0" applyNumberFormat="1" applyFont="1" applyFill="1" applyBorder="1" applyAlignment="1" applyProtection="1">
      <alignment horizontal="right" vertical="center"/>
      <protection/>
    </xf>
    <xf numFmtId="0" fontId="4" fillId="4" borderId="14" xfId="0" applyFont="1" applyFill="1" applyBorder="1" applyAlignment="1" applyProtection="1">
      <alignment horizontal="left" vertical="center"/>
      <protection/>
    </xf>
    <xf numFmtId="0" fontId="4" fillId="4" borderId="3" xfId="0" applyFont="1" applyFill="1" applyBorder="1" applyAlignment="1" applyProtection="1">
      <alignment vertical="center"/>
      <protection/>
    </xf>
    <xf numFmtId="2" fontId="5" fillId="4" borderId="3" xfId="0" applyNumberFormat="1" applyFont="1" applyFill="1" applyBorder="1" applyAlignment="1" applyProtection="1">
      <alignment horizontal="center" vertical="center"/>
      <protection/>
    </xf>
    <xf numFmtId="0" fontId="2" fillId="4" borderId="15" xfId="0" applyFont="1" applyFill="1" applyBorder="1" applyAlignment="1" applyProtection="1">
      <alignment vertical="center"/>
      <protection locked="0"/>
    </xf>
    <xf numFmtId="45" fontId="2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left" vertical="center"/>
      <protection/>
    </xf>
    <xf numFmtId="0" fontId="2" fillId="4" borderId="3" xfId="0" applyFont="1" applyFill="1" applyBorder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horizontal="left" vertical="center"/>
      <protection/>
    </xf>
    <xf numFmtId="0" fontId="5" fillId="3" borderId="0" xfId="0" applyFont="1" applyFill="1" applyAlignment="1" applyProtection="1">
      <alignment vertical="center"/>
      <protection/>
    </xf>
    <xf numFmtId="2" fontId="5" fillId="3" borderId="0" xfId="0" applyNumberFormat="1" applyFont="1" applyFill="1" applyAlignment="1" applyProtection="1">
      <alignment vertical="center"/>
      <protection/>
    </xf>
    <xf numFmtId="0" fontId="5" fillId="3" borderId="0" xfId="0" applyFont="1" applyFill="1" applyAlignment="1" applyProtection="1">
      <alignment horizontal="center" vertical="center"/>
      <protection/>
    </xf>
    <xf numFmtId="0" fontId="5" fillId="3" borderId="0" xfId="0" applyFont="1" applyFill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horizontal="center" vertical="center"/>
      <protection/>
    </xf>
    <xf numFmtId="1" fontId="4" fillId="3" borderId="0" xfId="0" applyNumberFormat="1" applyFont="1" applyFill="1" applyAlignment="1" applyProtection="1">
      <alignment horizontal="center" vertical="center"/>
      <protection/>
    </xf>
    <xf numFmtId="2" fontId="5" fillId="3" borderId="0" xfId="0" applyNumberFormat="1" applyFont="1" applyFill="1" applyAlignment="1" applyProtection="1">
      <alignment horizontal="center" vertical="center"/>
      <protection/>
    </xf>
    <xf numFmtId="0" fontId="11" fillId="4" borderId="7" xfId="0" applyFont="1" applyFill="1" applyBorder="1" applyAlignment="1" applyProtection="1">
      <alignment horizontal="center" vertical="center"/>
      <protection/>
    </xf>
    <xf numFmtId="0" fontId="11" fillId="4" borderId="3" xfId="0" applyFont="1" applyFill="1" applyBorder="1" applyAlignment="1" applyProtection="1">
      <alignment horizontal="center" vertical="center"/>
      <protection/>
    </xf>
    <xf numFmtId="0" fontId="11" fillId="4" borderId="6" xfId="0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>
      <alignment horizontal="left" vertical="center"/>
    </xf>
    <xf numFmtId="0" fontId="2" fillId="4" borderId="15" xfId="0" applyNumberFormat="1" applyFont="1" applyFill="1" applyBorder="1" applyAlignment="1">
      <alignment horizontal="left" vertical="center"/>
    </xf>
    <xf numFmtId="45" fontId="2" fillId="4" borderId="8" xfId="0" applyNumberFormat="1" applyFont="1" applyFill="1" applyBorder="1" applyAlignment="1">
      <alignment horizontal="center" vertical="center"/>
    </xf>
    <xf numFmtId="21" fontId="2" fillId="4" borderId="9" xfId="0" applyNumberFormat="1" applyFont="1" applyFill="1" applyBorder="1" applyAlignment="1">
      <alignment horizontal="center" vertical="center"/>
    </xf>
    <xf numFmtId="0" fontId="0" fillId="3" borderId="0" xfId="0" applyNumberFormat="1" applyFill="1" applyAlignment="1">
      <alignment horizontal="left"/>
    </xf>
    <xf numFmtId="0" fontId="4" fillId="4" borderId="12" xfId="0" applyFont="1" applyFill="1" applyBorder="1" applyAlignment="1">
      <alignment horizontal="left" vertical="center"/>
    </xf>
    <xf numFmtId="0" fontId="4" fillId="4" borderId="6" xfId="0" applyNumberFormat="1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4" fillId="4" borderId="3" xfId="0" applyNumberFormat="1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Continuous" vertical="center"/>
    </xf>
    <xf numFmtId="0" fontId="4" fillId="4" borderId="13" xfId="0" applyFont="1" applyFill="1" applyBorder="1" applyAlignment="1">
      <alignment horizontal="centerContinuous" vertical="center"/>
    </xf>
    <xf numFmtId="0" fontId="0" fillId="4" borderId="14" xfId="0" applyFill="1" applyBorder="1" applyAlignment="1">
      <alignment horizontal="centerContinuous"/>
    </xf>
    <xf numFmtId="0" fontId="0" fillId="4" borderId="16" xfId="0" applyNumberFormat="1" applyFill="1" applyBorder="1" applyAlignment="1">
      <alignment horizontal="center"/>
    </xf>
    <xf numFmtId="172" fontId="0" fillId="4" borderId="17" xfId="0" applyNumberFormat="1" applyFill="1" applyBorder="1" applyAlignment="1">
      <alignment horizontal="center"/>
    </xf>
    <xf numFmtId="0" fontId="4" fillId="3" borderId="0" xfId="0" applyFont="1" applyFill="1" applyAlignment="1">
      <alignment/>
    </xf>
    <xf numFmtId="0" fontId="4" fillId="3" borderId="0" xfId="0" applyNumberFormat="1" applyFont="1" applyFill="1" applyAlignment="1">
      <alignment horizontal="left"/>
    </xf>
    <xf numFmtId="0" fontId="4" fillId="4" borderId="1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 vertical="center"/>
    </xf>
    <xf numFmtId="0" fontId="14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/>
    </xf>
    <xf numFmtId="0" fontId="14" fillId="3" borderId="0" xfId="0" applyFont="1" applyFill="1" applyAlignment="1">
      <alignment horizontal="center"/>
    </xf>
    <xf numFmtId="0" fontId="12" fillId="3" borderId="0" xfId="0" applyNumberFormat="1" applyFont="1" applyFill="1" applyAlignment="1">
      <alignment horizontal="left"/>
    </xf>
    <xf numFmtId="0" fontId="12" fillId="3" borderId="0" xfId="0" applyFont="1" applyFill="1" applyAlignment="1">
      <alignment horizontal="left"/>
    </xf>
    <xf numFmtId="172" fontId="12" fillId="3" borderId="0" xfId="0" applyNumberFormat="1" applyFont="1" applyFill="1" applyAlignment="1">
      <alignment horizontal="center"/>
    </xf>
    <xf numFmtId="0" fontId="10" fillId="3" borderId="0" xfId="0" applyFont="1" applyFill="1" applyAlignment="1" applyProtection="1">
      <alignment/>
      <protection/>
    </xf>
    <xf numFmtId="0" fontId="10" fillId="3" borderId="0" xfId="0" applyFont="1" applyFill="1" applyAlignment="1" applyProtection="1">
      <alignment horizontal="center"/>
      <protection/>
    </xf>
    <xf numFmtId="2" fontId="10" fillId="3" borderId="0" xfId="0" applyNumberFormat="1" applyFont="1" applyFill="1" applyAlignment="1" applyProtection="1">
      <alignment/>
      <protection/>
    </xf>
    <xf numFmtId="0" fontId="2" fillId="0" borderId="3" xfId="0" applyFont="1" applyBorder="1" applyAlignment="1">
      <alignment/>
    </xf>
    <xf numFmtId="4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/>
    </xf>
    <xf numFmtId="1" fontId="2" fillId="0" borderId="2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72" fontId="2" fillId="0" borderId="5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" fillId="4" borderId="12" xfId="0" applyFont="1" applyFill="1" applyBorder="1" applyAlignment="1" applyProtection="1">
      <alignment horizontal="left" vertical="center"/>
      <protection/>
    </xf>
    <xf numFmtId="0" fontId="19" fillId="4" borderId="12" xfId="0" applyNumberFormat="1" applyFont="1" applyFill="1" applyBorder="1" applyAlignment="1">
      <alignment horizontal="centerContinuous" vertical="center"/>
    </xf>
    <xf numFmtId="0" fontId="19" fillId="4" borderId="13" xfId="0" applyFont="1" applyFill="1" applyBorder="1" applyAlignment="1">
      <alignment horizontal="centerContinuous" vertical="center"/>
    </xf>
    <xf numFmtId="0" fontId="20" fillId="4" borderId="14" xfId="0" applyFont="1" applyFill="1" applyBorder="1" applyAlignment="1">
      <alignment horizontal="centerContinuous"/>
    </xf>
    <xf numFmtId="0" fontId="19" fillId="4" borderId="3" xfId="0" applyNumberFormat="1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 wrapText="1"/>
    </xf>
    <xf numFmtId="0" fontId="22" fillId="4" borderId="15" xfId="0" applyNumberFormat="1" applyFont="1" applyFill="1" applyBorder="1" applyAlignment="1">
      <alignment horizontal="left" vertical="center"/>
    </xf>
    <xf numFmtId="45" fontId="22" fillId="4" borderId="8" xfId="0" applyNumberFormat="1" applyFont="1" applyFill="1" applyBorder="1" applyAlignment="1">
      <alignment horizontal="center" vertical="center"/>
    </xf>
    <xf numFmtId="21" fontId="22" fillId="4" borderId="9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Alignment="1">
      <alignment horizontal="left"/>
    </xf>
    <xf numFmtId="0" fontId="19" fillId="4" borderId="15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0" fontId="20" fillId="3" borderId="0" xfId="0" applyNumberFormat="1" applyFont="1" applyFill="1" applyAlignment="1">
      <alignment horizontal="left"/>
    </xf>
    <xf numFmtId="0" fontId="20" fillId="3" borderId="0" xfId="0" applyFont="1" applyFill="1" applyAlignment="1">
      <alignment/>
    </xf>
    <xf numFmtId="45" fontId="2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/>
    </xf>
    <xf numFmtId="21" fontId="2" fillId="0" borderId="5" xfId="0" applyNumberFormat="1" applyFont="1" applyBorder="1" applyAlignment="1">
      <alignment horizontal="center"/>
    </xf>
    <xf numFmtId="21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5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MMM Spring Relay - Teams by Stage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65"/>
          <c:w val="0.79375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'Teams by Stage'!$AY$13</c:f>
              <c:strCache>
                <c:ptCount val="1"/>
                <c:pt idx="0">
                  <c:v>A Wookie &amp; 4 Ewoks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'Teams by Stage'!$AZ$13:$BO$13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0.0005671296296296292</c:v>
                </c:pt>
                <c:pt idx="3">
                  <c:v>5.787037037036785E-05</c:v>
                </c:pt>
                <c:pt idx="4">
                  <c:v>0</c:v>
                </c:pt>
                <c:pt idx="5">
                  <c:v>0</c:v>
                </c:pt>
                <c:pt idx="6">
                  <c:v>0.0015509259259259278</c:v>
                </c:pt>
                <c:pt idx="7">
                  <c:v>0.0007291666666666696</c:v>
                </c:pt>
                <c:pt idx="8">
                  <c:v>0.0005555555555555591</c:v>
                </c:pt>
                <c:pt idx="9">
                  <c:v>0.000879629629629633</c:v>
                </c:pt>
                <c:pt idx="10">
                  <c:v>0.001145833333333332</c:v>
                </c:pt>
                <c:pt idx="11">
                  <c:v>0.0021412037037037007</c:v>
                </c:pt>
                <c:pt idx="12">
                  <c:v>0.0012731481481481483</c:v>
                </c:pt>
                <c:pt idx="13">
                  <c:v>0.0006481481481481477</c:v>
                </c:pt>
                <c:pt idx="14">
                  <c:v>0.0013194444444444287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'Teams by Stage'!$AY$14</c:f>
              <c:strCache>
                <c:ptCount val="1"/>
                <c:pt idx="0">
                  <c:v>Troys Terrors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'Teams by Stage'!$AZ$14:$BO$14</c:f>
              <c:numCache>
                <c:ptCount val="16"/>
                <c:pt idx="0">
                  <c:v>0.0017245370370370374</c:v>
                </c:pt>
                <c:pt idx="1">
                  <c:v>0.0019097222222222224</c:v>
                </c:pt>
                <c:pt idx="2">
                  <c:v>0.0014120370370370346</c:v>
                </c:pt>
                <c:pt idx="3">
                  <c:v>0.0013078703703703655</c:v>
                </c:pt>
                <c:pt idx="4">
                  <c:v>0.003865740740740739</c:v>
                </c:pt>
                <c:pt idx="5">
                  <c:v>0.004027777777777776</c:v>
                </c:pt>
                <c:pt idx="6">
                  <c:v>0.00407407407407407</c:v>
                </c:pt>
                <c:pt idx="7">
                  <c:v>0.003981481481481489</c:v>
                </c:pt>
                <c:pt idx="8">
                  <c:v>0.004085648148148144</c:v>
                </c:pt>
                <c:pt idx="9">
                  <c:v>0.005196759259259248</c:v>
                </c:pt>
                <c:pt idx="10">
                  <c:v>0.005752314814814807</c:v>
                </c:pt>
                <c:pt idx="11">
                  <c:v>0.007546296296296287</c:v>
                </c:pt>
                <c:pt idx="12">
                  <c:v>0.00753472222222222</c:v>
                </c:pt>
                <c:pt idx="13">
                  <c:v>0.007881944444444428</c:v>
                </c:pt>
                <c:pt idx="14">
                  <c:v>0.00892361111111109</c:v>
                </c:pt>
                <c:pt idx="15">
                  <c:v>0.009548611111111105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'Teams by Stage'!$AY$15</c:f>
              <c:strCache>
                <c:ptCount val="1"/>
                <c:pt idx="0">
                  <c:v>Green Machine</c:v>
                </c:pt>
              </c:strCache>
            </c:strRef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'Teams by Stage'!$AZ$15:$BO$15</c:f>
              <c:numCache>
                <c:ptCount val="16"/>
                <c:pt idx="0">
                  <c:v>0.0015856481481481485</c:v>
                </c:pt>
                <c:pt idx="1">
                  <c:v>0.001620370370370371</c:v>
                </c:pt>
                <c:pt idx="2">
                  <c:v>0.000798611111111111</c:v>
                </c:pt>
                <c:pt idx="3">
                  <c:v>0.0006828703703703684</c:v>
                </c:pt>
                <c:pt idx="4">
                  <c:v>0.0021527777777777743</c:v>
                </c:pt>
                <c:pt idx="5">
                  <c:v>0.00210648148148148</c:v>
                </c:pt>
                <c:pt idx="6">
                  <c:v>0.0017013888888888842</c:v>
                </c:pt>
                <c:pt idx="7">
                  <c:v>0.0014699074074074059</c:v>
                </c:pt>
                <c:pt idx="8">
                  <c:v>0.0013657407407407368</c:v>
                </c:pt>
                <c:pt idx="9">
                  <c:v>0.0016666666666666496</c:v>
                </c:pt>
                <c:pt idx="10">
                  <c:v>0.001956018518518496</c:v>
                </c:pt>
                <c:pt idx="11">
                  <c:v>0.00261574074074071</c:v>
                </c:pt>
                <c:pt idx="12">
                  <c:v>0.0024652777777777607</c:v>
                </c:pt>
                <c:pt idx="13">
                  <c:v>0.0020717592592592315</c:v>
                </c:pt>
                <c:pt idx="14">
                  <c:v>0.0029513888888888506</c:v>
                </c:pt>
                <c:pt idx="15">
                  <c:v>0.0030671296296296002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'Teams by Stage'!$AY$16</c:f>
              <c:strCache>
                <c:ptCount val="1"/>
                <c:pt idx="0">
                  <c:v>Purple Patch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val>
            <c:numRef>
              <c:f>'Teams by Stage'!$AZ$16:$BO$16</c:f>
              <c:numCache>
                <c:ptCount val="16"/>
                <c:pt idx="0">
                  <c:v>0.000312500000000002</c:v>
                </c:pt>
                <c:pt idx="1">
                  <c:v>0.00023148148148148182</c:v>
                </c:pt>
                <c:pt idx="2">
                  <c:v>0.0002777777777777761</c:v>
                </c:pt>
                <c:pt idx="3">
                  <c:v>9.259259259258856E-05</c:v>
                </c:pt>
                <c:pt idx="4">
                  <c:v>0.00043981481481480955</c:v>
                </c:pt>
                <c:pt idx="5">
                  <c:v>0.0004513888888888831</c:v>
                </c:pt>
                <c:pt idx="6">
                  <c:v>0.0016666666666666635</c:v>
                </c:pt>
                <c:pt idx="7">
                  <c:v>0.0014699074074074059</c:v>
                </c:pt>
                <c:pt idx="8">
                  <c:v>0</c:v>
                </c:pt>
                <c:pt idx="9">
                  <c:v>0.0026736111111111127</c:v>
                </c:pt>
                <c:pt idx="10">
                  <c:v>0.004016203703703702</c:v>
                </c:pt>
                <c:pt idx="11">
                  <c:v>0.007037037037037036</c:v>
                </c:pt>
                <c:pt idx="12">
                  <c:v>0.011342592592592585</c:v>
                </c:pt>
                <c:pt idx="13">
                  <c:v>0.01166666666666663</c:v>
                </c:pt>
                <c:pt idx="14">
                  <c:v>0.013506944444444391</c:v>
                </c:pt>
                <c:pt idx="15">
                  <c:v>0.012997685185185154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'Teams by Stage'!$AY$17</c:f>
              <c:strCache>
                <c:ptCount val="1"/>
                <c:pt idx="0">
                  <c:v>All The Presidents Men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'Teams by Stage'!$AZ$17:$BO$17</c:f>
              <c:numCache>
                <c:ptCount val="16"/>
                <c:pt idx="0">
                  <c:v>0.00042824074074074205</c:v>
                </c:pt>
                <c:pt idx="1">
                  <c:v>0.00016203703703703692</c:v>
                </c:pt>
                <c:pt idx="2">
                  <c:v>0.00011574074074073917</c:v>
                </c:pt>
                <c:pt idx="3">
                  <c:v>6.944444444444142E-05</c:v>
                </c:pt>
                <c:pt idx="4">
                  <c:v>0.0005208333333333315</c:v>
                </c:pt>
                <c:pt idx="5">
                  <c:v>1.157407407407357E-05</c:v>
                </c:pt>
                <c:pt idx="6">
                  <c:v>0</c:v>
                </c:pt>
                <c:pt idx="7">
                  <c:v>0</c:v>
                </c:pt>
                <c:pt idx="8">
                  <c:v>0.0005787037037037063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0.0002662037037037268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'Teams by Stage'!$AY$18</c:f>
              <c:strCache>
                <c:ptCount val="1"/>
                <c:pt idx="0">
                  <c:v>White Lightening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val>
            <c:numRef>
              <c:f>'Teams by Stage'!$AZ$18:$BO$18</c:f>
              <c:numCache>
                <c:ptCount val="16"/>
                <c:pt idx="0">
                  <c:v>0.0005208333333333341</c:v>
                </c:pt>
                <c:pt idx="1">
                  <c:v>0.0003703703703703716</c:v>
                </c:pt>
                <c:pt idx="2">
                  <c:v>0</c:v>
                </c:pt>
                <c:pt idx="3">
                  <c:v>0</c:v>
                </c:pt>
                <c:pt idx="4">
                  <c:v>0.0006481481481481477</c:v>
                </c:pt>
                <c:pt idx="5">
                  <c:v>0.0004050925925925958</c:v>
                </c:pt>
                <c:pt idx="6">
                  <c:v>0.000879629629629633</c:v>
                </c:pt>
                <c:pt idx="7">
                  <c:v>0.0010069444444444492</c:v>
                </c:pt>
                <c:pt idx="8">
                  <c:v>0.00045138888888889006</c:v>
                </c:pt>
                <c:pt idx="9">
                  <c:v>0.00020833333333332427</c:v>
                </c:pt>
                <c:pt idx="10">
                  <c:v>0.0015046296296296197</c:v>
                </c:pt>
                <c:pt idx="11">
                  <c:v>0.002002314814814804</c:v>
                </c:pt>
                <c:pt idx="12">
                  <c:v>0.00212962962962962</c:v>
                </c:pt>
                <c:pt idx="13">
                  <c:v>0.0024189814814814525</c:v>
                </c:pt>
                <c:pt idx="14">
                  <c:v>0.0032523148148147774</c:v>
                </c:pt>
                <c:pt idx="15">
                  <c:v>0.0036458333333333204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'Teams by Stage'!$AY$19</c:f>
              <c:strCache>
                <c:ptCount val="1"/>
                <c:pt idx="0">
                  <c:v>Mitho's Fab Four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'Teams by Stage'!$AZ$19:$BO$19</c:f>
              <c:numCache>
                <c:ptCount val="16"/>
                <c:pt idx="0">
                  <c:v>0.0003009259259259267</c:v>
                </c:pt>
                <c:pt idx="1">
                  <c:v>4.6296296296296016E-05</c:v>
                </c:pt>
                <c:pt idx="2">
                  <c:v>0.0001851851851851806</c:v>
                </c:pt>
                <c:pt idx="3">
                  <c:v>0.00019675925925925417</c:v>
                </c:pt>
                <c:pt idx="4">
                  <c:v>0.0004976851851851843</c:v>
                </c:pt>
                <c:pt idx="5">
                  <c:v>0.0001273148148148162</c:v>
                </c:pt>
                <c:pt idx="6">
                  <c:v>0.001064814814814817</c:v>
                </c:pt>
                <c:pt idx="7">
                  <c:v>0.0013425925925926036</c:v>
                </c:pt>
                <c:pt idx="8">
                  <c:v>0.0006018518518518534</c:v>
                </c:pt>
                <c:pt idx="9">
                  <c:v>0.0005787037037036924</c:v>
                </c:pt>
                <c:pt idx="10">
                  <c:v>0.0014351851851851782</c:v>
                </c:pt>
                <c:pt idx="11">
                  <c:v>0.0023958333333333193</c:v>
                </c:pt>
                <c:pt idx="12">
                  <c:v>0.0027662037037037013</c:v>
                </c:pt>
                <c:pt idx="13">
                  <c:v>0.0027430555555555403</c:v>
                </c:pt>
                <c:pt idx="14">
                  <c:v>0.004641203703703689</c:v>
                </c:pt>
                <c:pt idx="15">
                  <c:v>0.006087962962962962</c:v>
                </c:pt>
              </c:numCache>
            </c:numRef>
          </c:val>
          <c:smooth val="0"/>
        </c:ser>
        <c:marker val="1"/>
        <c:axId val="46000205"/>
        <c:axId val="11348662"/>
      </c:lineChart>
      <c:catAx>
        <c:axId val="46000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48662"/>
        <c:crosses val="autoZero"/>
        <c:auto val="1"/>
        <c:lblOffset val="100"/>
        <c:noMultiLvlLbl val="0"/>
      </c:catAx>
      <c:valAx>
        <c:axId val="11348662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Minutes Behind Lead Team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8100">
            <a:solidFill/>
          </a:ln>
        </c:spPr>
        <c:crossAx val="46000205"/>
        <c:crossesAt val="1"/>
        <c:crossBetween val="between"/>
        <c:dispUnits/>
      </c:valAx>
      <c:spPr>
        <a:gradFill rotWithShape="1">
          <a:gsLst>
            <a:gs pos="0">
              <a:srgbClr val="FF6600"/>
            </a:gs>
            <a:gs pos="50000">
              <a:srgbClr val="FFCC99"/>
            </a:gs>
            <a:gs pos="100000">
              <a:srgbClr val="FF66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251"/>
          <c:w val="0.154"/>
          <c:h val="0.440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3.421875" style="120" customWidth="1"/>
    <col min="2" max="2" width="29.8515625" style="121" customWidth="1"/>
    <col min="3" max="3" width="4.7109375" style="121" customWidth="1"/>
    <col min="4" max="4" width="20.7109375" style="120" customWidth="1"/>
    <col min="5" max="5" width="4.7109375" style="121" customWidth="1"/>
    <col min="6" max="6" width="20.7109375" style="120" customWidth="1"/>
    <col min="7" max="7" width="4.7109375" style="121" customWidth="1"/>
    <col min="8" max="8" width="20.7109375" style="120" customWidth="1"/>
    <col min="9" max="9" width="4.7109375" style="121" customWidth="1"/>
    <col min="10" max="10" width="20.7109375" style="120" customWidth="1"/>
    <col min="11" max="11" width="17.421875" style="120" customWidth="1"/>
    <col min="12" max="16" width="9.140625" style="120" customWidth="1"/>
    <col min="17" max="16384" width="9.140625" style="122" customWidth="1"/>
  </cols>
  <sheetData>
    <row r="1" spans="1:16" s="123" customFormat="1" ht="12.75">
      <c r="A1" s="27"/>
      <c r="B1" s="28"/>
      <c r="C1" s="28"/>
      <c r="D1" s="27"/>
      <c r="E1" s="28"/>
      <c r="F1" s="27"/>
      <c r="G1" s="28"/>
      <c r="H1" s="27"/>
      <c r="I1" s="28"/>
      <c r="J1" s="27"/>
      <c r="K1" s="27"/>
      <c r="L1" s="27"/>
      <c r="M1" s="27"/>
      <c r="N1" s="27"/>
      <c r="O1" s="27"/>
      <c r="P1" s="27"/>
    </row>
    <row r="2" spans="1:16" s="124" customFormat="1" ht="19.5" customHeight="1">
      <c r="A2" s="33"/>
      <c r="B2" s="35" t="s">
        <v>44</v>
      </c>
      <c r="C2" s="36" t="s">
        <v>4</v>
      </c>
      <c r="D2" s="36"/>
      <c r="E2" s="36" t="s">
        <v>1</v>
      </c>
      <c r="F2" s="36"/>
      <c r="G2" s="36" t="s">
        <v>2</v>
      </c>
      <c r="H2" s="36"/>
      <c r="I2" s="36" t="s">
        <v>3</v>
      </c>
      <c r="J2" s="36"/>
      <c r="K2" s="135" t="s">
        <v>51</v>
      </c>
      <c r="L2" s="33"/>
      <c r="M2" s="33"/>
      <c r="N2" s="33"/>
      <c r="O2" s="33"/>
      <c r="P2" s="33"/>
    </row>
    <row r="3" spans="1:16" s="125" customFormat="1" ht="18.75" customHeight="1">
      <c r="A3" s="34"/>
      <c r="B3" s="138" t="s">
        <v>65</v>
      </c>
      <c r="C3" s="134">
        <v>1</v>
      </c>
      <c r="D3" s="38" t="str">
        <f aca="true" t="shared" si="0" ref="D3:D9">VLOOKUP(C3,$I$12:$J$47,2,FALSE)</f>
        <v>Stephen Paine</v>
      </c>
      <c r="E3" s="37">
        <v>13</v>
      </c>
      <c r="F3" s="38" t="str">
        <f aca="true" t="shared" si="1" ref="F3:F9">VLOOKUP(E3,$I$12:$J$47,2,FALSE)</f>
        <v>Norval Hope</v>
      </c>
      <c r="G3" s="37">
        <v>16</v>
      </c>
      <c r="H3" s="38" t="str">
        <f aca="true" t="shared" si="2" ref="H3:H9">VLOOKUP(G3,$I$12:$J$47,2,FALSE)</f>
        <v>Thai Phan</v>
      </c>
      <c r="I3" s="37">
        <v>28</v>
      </c>
      <c r="J3" s="38" t="str">
        <f aca="true" t="shared" si="3" ref="J3:J9">VLOOKUP(I3,$I$12:$J$47,2,FALSE)</f>
        <v>Mark P &amp; Max H</v>
      </c>
      <c r="K3" s="136">
        <f aca="true" t="shared" si="4" ref="K3:K9">+C3+E3+G3+I3</f>
        <v>58</v>
      </c>
      <c r="L3" s="33"/>
      <c r="M3" s="34"/>
      <c r="N3" s="34"/>
      <c r="O3" s="34"/>
      <c r="P3" s="34"/>
    </row>
    <row r="4" spans="1:16" s="125" customFormat="1" ht="18.75" customHeight="1">
      <c r="A4" s="34"/>
      <c r="B4" s="138" t="s">
        <v>66</v>
      </c>
      <c r="C4" s="134">
        <v>2</v>
      </c>
      <c r="D4" s="38" t="str">
        <f t="shared" si="0"/>
        <v>Troy Williams</v>
      </c>
      <c r="E4" s="37">
        <v>14</v>
      </c>
      <c r="F4" s="38" t="str">
        <f t="shared" si="1"/>
        <v>Glenn Goodman</v>
      </c>
      <c r="G4" s="37">
        <v>15</v>
      </c>
      <c r="H4" s="38" t="str">
        <f t="shared" si="2"/>
        <v>Matt Clark</v>
      </c>
      <c r="I4" s="37">
        <v>26</v>
      </c>
      <c r="J4" s="38" t="str">
        <f t="shared" si="3"/>
        <v>Shirley Ching</v>
      </c>
      <c r="K4" s="136">
        <f t="shared" si="4"/>
        <v>57</v>
      </c>
      <c r="L4" s="33"/>
      <c r="M4" s="34"/>
      <c r="N4" s="34"/>
      <c r="O4" s="34"/>
      <c r="P4" s="34"/>
    </row>
    <row r="5" spans="1:16" s="125" customFormat="1" ht="18.75" customHeight="1">
      <c r="A5" s="34"/>
      <c r="B5" s="138" t="s">
        <v>67</v>
      </c>
      <c r="C5" s="134">
        <v>3</v>
      </c>
      <c r="D5" s="38" t="str">
        <f t="shared" si="0"/>
        <v>David Venour</v>
      </c>
      <c r="E5" s="37">
        <v>12</v>
      </c>
      <c r="F5" s="38" t="str">
        <f t="shared" si="1"/>
        <v>Steve Miller</v>
      </c>
      <c r="G5" s="37">
        <v>18</v>
      </c>
      <c r="H5" s="38" t="str">
        <f t="shared" si="2"/>
        <v>Rory Heddles</v>
      </c>
      <c r="I5" s="37">
        <v>27</v>
      </c>
      <c r="J5" s="38" t="str">
        <f t="shared" si="3"/>
        <v>Emma Tinning</v>
      </c>
      <c r="K5" s="136">
        <f t="shared" si="4"/>
        <v>60</v>
      </c>
      <c r="L5" s="33"/>
      <c r="M5" s="34"/>
      <c r="N5" s="34"/>
      <c r="O5" s="34"/>
      <c r="P5" s="34"/>
    </row>
    <row r="6" spans="1:16" s="125" customFormat="1" ht="18.75" customHeight="1">
      <c r="A6" s="34"/>
      <c r="B6" s="138" t="s">
        <v>68</v>
      </c>
      <c r="C6" s="134">
        <v>4</v>
      </c>
      <c r="D6" s="38" t="str">
        <f t="shared" si="0"/>
        <v>Andrew Coles</v>
      </c>
      <c r="E6" s="37">
        <v>11</v>
      </c>
      <c r="F6" s="38" t="str">
        <f t="shared" si="1"/>
        <v>Selim Ahmed</v>
      </c>
      <c r="G6" s="37">
        <v>17</v>
      </c>
      <c r="H6" s="38" t="str">
        <f t="shared" si="2"/>
        <v>Kirsten Jackson</v>
      </c>
      <c r="I6" s="37">
        <v>22</v>
      </c>
      <c r="J6" s="38" t="str">
        <f t="shared" si="3"/>
        <v>Michael Carney</v>
      </c>
      <c r="K6" s="136">
        <f t="shared" si="4"/>
        <v>54</v>
      </c>
      <c r="L6" s="137"/>
      <c r="M6" s="34"/>
      <c r="N6" s="34"/>
      <c r="O6" s="34"/>
      <c r="P6" s="34"/>
    </row>
    <row r="7" spans="1:16" s="125" customFormat="1" ht="18.75" customHeight="1">
      <c r="A7" s="34"/>
      <c r="B7" s="138" t="s">
        <v>69</v>
      </c>
      <c r="C7" s="134">
        <v>5</v>
      </c>
      <c r="D7" s="38" t="str">
        <f t="shared" si="0"/>
        <v>Shane Fielding</v>
      </c>
      <c r="E7" s="37">
        <v>10</v>
      </c>
      <c r="F7" s="38" t="str">
        <f t="shared" si="1"/>
        <v>Mark Deslandes</v>
      </c>
      <c r="G7" s="37">
        <v>20</v>
      </c>
      <c r="H7" s="38" t="str">
        <f t="shared" si="2"/>
        <v>Gary O'Dwyer</v>
      </c>
      <c r="I7" s="37">
        <v>24</v>
      </c>
      <c r="J7" s="38" t="str">
        <f t="shared" si="3"/>
        <v>Hugh Hunter</v>
      </c>
      <c r="K7" s="136">
        <f t="shared" si="4"/>
        <v>59</v>
      </c>
      <c r="L7" s="33"/>
      <c r="M7" s="34"/>
      <c r="N7" s="34"/>
      <c r="O7" s="34"/>
      <c r="P7" s="34"/>
    </row>
    <row r="8" spans="1:16" s="125" customFormat="1" ht="18.75" customHeight="1">
      <c r="A8" s="34"/>
      <c r="B8" s="138" t="s">
        <v>70</v>
      </c>
      <c r="C8" s="134">
        <v>6</v>
      </c>
      <c r="D8" s="38" t="str">
        <f t="shared" si="0"/>
        <v>Bruce Arthur</v>
      </c>
      <c r="E8" s="37">
        <v>9</v>
      </c>
      <c r="F8" s="38" t="str">
        <f t="shared" si="1"/>
        <v>Chris Wright</v>
      </c>
      <c r="G8" s="37">
        <v>19</v>
      </c>
      <c r="H8" s="38" t="str">
        <f t="shared" si="2"/>
        <v>Terry Wright</v>
      </c>
      <c r="I8" s="37">
        <v>23</v>
      </c>
      <c r="J8" s="38" t="str">
        <f t="shared" si="3"/>
        <v>John Hand</v>
      </c>
      <c r="K8" s="136">
        <f t="shared" si="4"/>
        <v>57</v>
      </c>
      <c r="L8" s="33"/>
      <c r="M8" s="34"/>
      <c r="N8" s="34"/>
      <c r="O8" s="34"/>
      <c r="P8" s="34"/>
    </row>
    <row r="9" spans="1:16" s="125" customFormat="1" ht="18.75" customHeight="1">
      <c r="A9" s="34"/>
      <c r="B9" s="138" t="s">
        <v>71</v>
      </c>
      <c r="C9" s="134">
        <v>7</v>
      </c>
      <c r="D9" s="38" t="str">
        <f t="shared" si="0"/>
        <v>Anthony Mithen</v>
      </c>
      <c r="E9" s="37">
        <v>8</v>
      </c>
      <c r="F9" s="38" t="str">
        <f t="shared" si="1"/>
        <v>Simon Duffy</v>
      </c>
      <c r="G9" s="37">
        <v>21</v>
      </c>
      <c r="H9" s="38" t="str">
        <f t="shared" si="2"/>
        <v>Dave Percival</v>
      </c>
      <c r="I9" s="37">
        <v>25</v>
      </c>
      <c r="J9" s="38" t="str">
        <f t="shared" si="3"/>
        <v>Yin Kuan Ho</v>
      </c>
      <c r="K9" s="136">
        <f t="shared" si="4"/>
        <v>61</v>
      </c>
      <c r="L9" s="137"/>
      <c r="M9" s="34"/>
      <c r="N9" s="34"/>
      <c r="O9" s="34"/>
      <c r="P9" s="34"/>
    </row>
    <row r="10" spans="1:16" ht="12.75">
      <c r="A10" s="29"/>
      <c r="B10" s="39"/>
      <c r="C10" s="29"/>
      <c r="D10" s="29"/>
      <c r="E10" s="31"/>
      <c r="F10" s="29"/>
      <c r="G10" s="31"/>
      <c r="H10" s="29"/>
      <c r="I10" s="31"/>
      <c r="J10" s="29"/>
      <c r="K10" s="29"/>
      <c r="L10" s="29"/>
      <c r="M10" s="29"/>
      <c r="N10" s="29"/>
      <c r="O10" s="29"/>
      <c r="P10" s="29"/>
    </row>
    <row r="11" spans="1:16" ht="12.75">
      <c r="A11" s="29"/>
      <c r="B11" s="39"/>
      <c r="C11" s="29"/>
      <c r="D11" s="29"/>
      <c r="E11" s="31"/>
      <c r="F11" s="29"/>
      <c r="G11" s="31"/>
      <c r="H11" s="29"/>
      <c r="I11" s="163" t="s">
        <v>50</v>
      </c>
      <c r="J11" s="163"/>
      <c r="K11" s="29"/>
      <c r="L11" s="29"/>
      <c r="M11" s="29"/>
      <c r="N11" s="29"/>
      <c r="O11" s="29"/>
      <c r="P11" s="29"/>
    </row>
    <row r="12" spans="1:16" ht="12.75">
      <c r="A12" s="29"/>
      <c r="B12" s="39"/>
      <c r="C12" s="29"/>
      <c r="D12" s="29"/>
      <c r="E12" s="31"/>
      <c r="F12" s="29"/>
      <c r="G12" s="31"/>
      <c r="H12" s="29"/>
      <c r="I12" s="40">
        <v>1</v>
      </c>
      <c r="J12" s="41" t="s">
        <v>52</v>
      </c>
      <c r="K12" s="29"/>
      <c r="L12" s="29"/>
      <c r="M12" s="29"/>
      <c r="N12" s="29"/>
      <c r="O12" s="29"/>
      <c r="P12" s="29"/>
    </row>
    <row r="13" spans="1:16" ht="12.75">
      <c r="A13" s="29"/>
      <c r="B13" s="39"/>
      <c r="C13" s="29"/>
      <c r="D13" s="29"/>
      <c r="E13" s="31"/>
      <c r="F13" s="29"/>
      <c r="G13" s="31"/>
      <c r="H13" s="29"/>
      <c r="I13" s="40">
        <v>2</v>
      </c>
      <c r="J13" s="41" t="s">
        <v>46</v>
      </c>
      <c r="K13" s="29"/>
      <c r="L13" s="29"/>
      <c r="M13" s="29"/>
      <c r="N13" s="29"/>
      <c r="O13" s="29"/>
      <c r="P13" s="29"/>
    </row>
    <row r="14" spans="1:16" ht="12.75">
      <c r="A14" s="29"/>
      <c r="B14" s="39"/>
      <c r="C14" s="29"/>
      <c r="D14" s="29"/>
      <c r="E14" s="31"/>
      <c r="F14" s="29"/>
      <c r="G14" s="31"/>
      <c r="H14" s="29"/>
      <c r="I14" s="40">
        <v>3</v>
      </c>
      <c r="J14" s="41" t="s">
        <v>45</v>
      </c>
      <c r="K14" s="29"/>
      <c r="L14" s="29"/>
      <c r="M14" s="29"/>
      <c r="N14" s="29"/>
      <c r="O14" s="29"/>
      <c r="P14" s="29"/>
    </row>
    <row r="15" spans="1:16" ht="12.75">
      <c r="A15" s="29"/>
      <c r="B15" s="39"/>
      <c r="C15" s="29"/>
      <c r="D15" s="29"/>
      <c r="E15" s="31"/>
      <c r="F15" s="29"/>
      <c r="G15" s="31"/>
      <c r="H15" s="29"/>
      <c r="I15" s="40">
        <v>4</v>
      </c>
      <c r="J15" s="41" t="s">
        <v>58</v>
      </c>
      <c r="K15" s="29"/>
      <c r="L15" s="29"/>
      <c r="M15" s="29"/>
      <c r="N15" s="29"/>
      <c r="O15" s="29"/>
      <c r="P15" s="29"/>
    </row>
    <row r="16" spans="1:16" ht="12.75">
      <c r="A16" s="29"/>
      <c r="B16" s="39"/>
      <c r="C16" s="29"/>
      <c r="D16" s="29"/>
      <c r="E16" s="31"/>
      <c r="F16" s="29"/>
      <c r="G16" s="31"/>
      <c r="H16" s="29"/>
      <c r="I16" s="40">
        <v>5</v>
      </c>
      <c r="J16" s="41" t="s">
        <v>48</v>
      </c>
      <c r="K16" s="29"/>
      <c r="L16" s="29"/>
      <c r="M16" s="29"/>
      <c r="N16" s="29"/>
      <c r="O16" s="29"/>
      <c r="P16" s="29"/>
    </row>
    <row r="17" spans="1:16" ht="12.75">
      <c r="A17" s="29"/>
      <c r="B17" s="39"/>
      <c r="C17" s="29"/>
      <c r="D17" s="29"/>
      <c r="E17" s="31"/>
      <c r="F17" s="29"/>
      <c r="G17" s="31"/>
      <c r="H17" s="29"/>
      <c r="I17" s="40">
        <v>6</v>
      </c>
      <c r="J17" s="41" t="s">
        <v>64</v>
      </c>
      <c r="K17" s="29"/>
      <c r="L17" s="29"/>
      <c r="M17" s="29"/>
      <c r="N17" s="29"/>
      <c r="O17" s="29"/>
      <c r="P17" s="29"/>
    </row>
    <row r="18" spans="1:16" ht="12.75">
      <c r="A18" s="29"/>
      <c r="B18" s="39"/>
      <c r="C18" s="29"/>
      <c r="D18" s="29"/>
      <c r="E18" s="31"/>
      <c r="F18" s="29"/>
      <c r="G18" s="31"/>
      <c r="H18" s="29"/>
      <c r="I18" s="40">
        <v>7</v>
      </c>
      <c r="J18" s="41" t="s">
        <v>47</v>
      </c>
      <c r="K18" s="29"/>
      <c r="L18" s="29"/>
      <c r="M18" s="29"/>
      <c r="N18" s="29"/>
      <c r="O18" s="29"/>
      <c r="P18" s="29"/>
    </row>
    <row r="19" spans="1:16" ht="12.75">
      <c r="A19" s="29"/>
      <c r="B19" s="39"/>
      <c r="C19" s="29"/>
      <c r="D19" s="29"/>
      <c r="E19" s="31"/>
      <c r="F19" s="29"/>
      <c r="G19" s="31"/>
      <c r="H19" s="29"/>
      <c r="I19" s="40">
        <v>8</v>
      </c>
      <c r="J19" s="41" t="s">
        <v>59</v>
      </c>
      <c r="K19" s="29"/>
      <c r="L19" s="29"/>
      <c r="M19" s="29"/>
      <c r="N19" s="29"/>
      <c r="O19" s="29"/>
      <c r="P19" s="29"/>
    </row>
    <row r="20" spans="1:16" ht="12.75">
      <c r="A20" s="29"/>
      <c r="B20" s="39"/>
      <c r="C20" s="29"/>
      <c r="D20" s="29"/>
      <c r="E20" s="31"/>
      <c r="F20" s="29"/>
      <c r="G20" s="31"/>
      <c r="H20" s="29"/>
      <c r="I20" s="40">
        <v>9</v>
      </c>
      <c r="J20" s="41" t="s">
        <v>72</v>
      </c>
      <c r="K20" s="29"/>
      <c r="L20" s="29"/>
      <c r="M20" s="29"/>
      <c r="N20" s="29"/>
      <c r="O20" s="29"/>
      <c r="P20" s="29"/>
    </row>
    <row r="21" spans="1:16" ht="12.75">
      <c r="A21" s="29"/>
      <c r="B21" s="39"/>
      <c r="C21" s="29"/>
      <c r="D21" s="29"/>
      <c r="E21" s="31"/>
      <c r="F21" s="29"/>
      <c r="G21" s="31"/>
      <c r="H21" s="29"/>
      <c r="I21" s="40">
        <v>10</v>
      </c>
      <c r="J21" s="41" t="s">
        <v>57</v>
      </c>
      <c r="K21" s="29"/>
      <c r="L21" s="29"/>
      <c r="M21" s="29"/>
      <c r="N21" s="29"/>
      <c r="O21" s="29"/>
      <c r="P21" s="29"/>
    </row>
    <row r="22" spans="1:16" ht="12.75">
      <c r="A22" s="29"/>
      <c r="B22" s="39"/>
      <c r="C22" s="29"/>
      <c r="D22" s="29"/>
      <c r="E22" s="31"/>
      <c r="F22" s="29"/>
      <c r="G22" s="31"/>
      <c r="H22" s="29"/>
      <c r="I22" s="40">
        <v>11</v>
      </c>
      <c r="J22" s="41" t="s">
        <v>73</v>
      </c>
      <c r="K22" s="29"/>
      <c r="L22" s="29"/>
      <c r="M22" s="29"/>
      <c r="N22" s="29"/>
      <c r="O22" s="29"/>
      <c r="P22" s="29"/>
    </row>
    <row r="23" spans="1:16" ht="12.75">
      <c r="A23" s="29"/>
      <c r="B23" s="39"/>
      <c r="C23" s="29"/>
      <c r="D23" s="29"/>
      <c r="E23" s="31"/>
      <c r="F23" s="29"/>
      <c r="G23" s="31"/>
      <c r="H23" s="29"/>
      <c r="I23" s="40">
        <v>12</v>
      </c>
      <c r="J23" s="41" t="s">
        <v>74</v>
      </c>
      <c r="K23" s="29"/>
      <c r="L23" s="29"/>
      <c r="M23" s="29"/>
      <c r="N23" s="29"/>
      <c r="O23" s="29"/>
      <c r="P23" s="29"/>
    </row>
    <row r="24" spans="1:16" ht="12.75">
      <c r="A24" s="29"/>
      <c r="B24" s="30"/>
      <c r="C24" s="31"/>
      <c r="D24" s="29"/>
      <c r="E24" s="31"/>
      <c r="F24" s="29"/>
      <c r="G24" s="31"/>
      <c r="H24" s="29"/>
      <c r="I24" s="40">
        <v>13</v>
      </c>
      <c r="J24" s="41" t="s">
        <v>75</v>
      </c>
      <c r="K24" s="29"/>
      <c r="L24" s="29"/>
      <c r="M24" s="29"/>
      <c r="N24" s="29"/>
      <c r="O24" s="29"/>
      <c r="P24" s="29"/>
    </row>
    <row r="25" spans="1:16" ht="12.75">
      <c r="A25" s="29"/>
      <c r="B25" s="30"/>
      <c r="C25" s="31"/>
      <c r="D25" s="29"/>
      <c r="E25" s="31"/>
      <c r="F25" s="29"/>
      <c r="G25" s="31"/>
      <c r="H25" s="29"/>
      <c r="I25" s="40">
        <v>14</v>
      </c>
      <c r="J25" s="41" t="s">
        <v>53</v>
      </c>
      <c r="K25" s="29"/>
      <c r="L25" s="29"/>
      <c r="M25" s="29"/>
      <c r="N25" s="29"/>
      <c r="O25" s="29"/>
      <c r="P25" s="29"/>
    </row>
    <row r="26" spans="1:16" ht="12.75">
      <c r="A26" s="29"/>
      <c r="B26" s="30"/>
      <c r="C26" s="31"/>
      <c r="D26" s="29"/>
      <c r="E26" s="31"/>
      <c r="F26" s="29"/>
      <c r="G26" s="31"/>
      <c r="H26" s="29"/>
      <c r="I26" s="40">
        <v>15</v>
      </c>
      <c r="J26" s="41" t="s">
        <v>76</v>
      </c>
      <c r="K26" s="29"/>
      <c r="L26" s="29"/>
      <c r="M26" s="29"/>
      <c r="N26" s="29"/>
      <c r="O26" s="29"/>
      <c r="P26" s="29"/>
    </row>
    <row r="27" spans="1:16" ht="12.75">
      <c r="A27" s="29"/>
      <c r="B27" s="31"/>
      <c r="C27" s="31"/>
      <c r="D27" s="29"/>
      <c r="E27" s="31"/>
      <c r="F27" s="29"/>
      <c r="G27" s="31"/>
      <c r="H27" s="29"/>
      <c r="I27" s="40">
        <v>16</v>
      </c>
      <c r="J27" s="41" t="s">
        <v>62</v>
      </c>
      <c r="K27" s="29"/>
      <c r="L27" s="29"/>
      <c r="M27" s="29"/>
      <c r="N27" s="29"/>
      <c r="O27" s="29"/>
      <c r="P27" s="29"/>
    </row>
    <row r="28" spans="1:16" ht="12.75">
      <c r="A28" s="29"/>
      <c r="B28" s="31"/>
      <c r="C28" s="31"/>
      <c r="D28" s="29"/>
      <c r="E28" s="31"/>
      <c r="F28" s="29"/>
      <c r="G28" s="31"/>
      <c r="H28" s="29"/>
      <c r="I28" s="40">
        <v>17</v>
      </c>
      <c r="J28" s="41" t="s">
        <v>63</v>
      </c>
      <c r="K28" s="29"/>
      <c r="L28" s="29"/>
      <c r="M28" s="29"/>
      <c r="N28" s="29"/>
      <c r="O28" s="29"/>
      <c r="P28" s="29"/>
    </row>
    <row r="29" spans="1:16" ht="12.75">
      <c r="A29" s="29"/>
      <c r="B29" s="31"/>
      <c r="C29" s="31"/>
      <c r="D29" s="29"/>
      <c r="E29" s="31"/>
      <c r="F29" s="29"/>
      <c r="G29" s="31"/>
      <c r="H29" s="29"/>
      <c r="I29" s="40">
        <v>18</v>
      </c>
      <c r="J29" s="41" t="s">
        <v>61</v>
      </c>
      <c r="K29" s="29"/>
      <c r="L29" s="29"/>
      <c r="M29" s="29"/>
      <c r="N29" s="29"/>
      <c r="O29" s="29"/>
      <c r="P29" s="29"/>
    </row>
    <row r="30" spans="1:16" ht="12.75">
      <c r="A30" s="29"/>
      <c r="B30" s="31"/>
      <c r="C30" s="31"/>
      <c r="D30" s="29"/>
      <c r="E30" s="31"/>
      <c r="F30" s="29"/>
      <c r="G30" s="31"/>
      <c r="H30" s="29"/>
      <c r="I30" s="40">
        <v>19</v>
      </c>
      <c r="J30" s="41" t="s">
        <v>77</v>
      </c>
      <c r="K30" s="29"/>
      <c r="L30" s="29"/>
      <c r="M30" s="29"/>
      <c r="N30" s="29"/>
      <c r="O30" s="29"/>
      <c r="P30" s="29"/>
    </row>
    <row r="31" spans="1:16" ht="12.75">
      <c r="A31" s="29"/>
      <c r="B31" s="31"/>
      <c r="C31" s="31"/>
      <c r="D31" s="32"/>
      <c r="E31" s="31"/>
      <c r="F31" s="32"/>
      <c r="G31" s="31"/>
      <c r="H31" s="29"/>
      <c r="I31" s="40">
        <v>20</v>
      </c>
      <c r="J31" s="41" t="s">
        <v>78</v>
      </c>
      <c r="K31" s="29"/>
      <c r="L31" s="29"/>
      <c r="M31" s="29"/>
      <c r="N31" s="29"/>
      <c r="O31" s="29"/>
      <c r="P31" s="29"/>
    </row>
    <row r="32" spans="1:16" ht="12.75">
      <c r="A32" s="29"/>
      <c r="B32" s="31"/>
      <c r="C32" s="31"/>
      <c r="D32" s="32"/>
      <c r="E32" s="31"/>
      <c r="F32" s="32"/>
      <c r="G32" s="31"/>
      <c r="H32" s="29"/>
      <c r="I32" s="40">
        <v>21</v>
      </c>
      <c r="J32" s="41" t="s">
        <v>60</v>
      </c>
      <c r="K32" s="29"/>
      <c r="L32" s="29"/>
      <c r="M32" s="29"/>
      <c r="N32" s="29"/>
      <c r="O32" s="29"/>
      <c r="P32" s="29"/>
    </row>
    <row r="33" spans="1:16" ht="12.75">
      <c r="A33" s="29"/>
      <c r="B33" s="31"/>
      <c r="C33" s="31"/>
      <c r="D33" s="32"/>
      <c r="E33" s="31"/>
      <c r="F33" s="32"/>
      <c r="G33" s="31"/>
      <c r="H33" s="29"/>
      <c r="I33" s="40">
        <v>22</v>
      </c>
      <c r="J33" s="41" t="s">
        <v>79</v>
      </c>
      <c r="K33" s="29"/>
      <c r="L33" s="29"/>
      <c r="M33" s="29"/>
      <c r="N33" s="29"/>
      <c r="O33" s="29"/>
      <c r="P33" s="29"/>
    </row>
    <row r="34" spans="1:16" ht="12.75">
      <c r="A34" s="29"/>
      <c r="B34" s="31"/>
      <c r="C34" s="31"/>
      <c r="D34" s="32"/>
      <c r="E34" s="31"/>
      <c r="F34" s="32"/>
      <c r="G34" s="31"/>
      <c r="H34" s="29"/>
      <c r="I34" s="40">
        <v>23</v>
      </c>
      <c r="J34" s="41" t="s">
        <v>80</v>
      </c>
      <c r="K34" s="29"/>
      <c r="L34" s="29"/>
      <c r="M34" s="29"/>
      <c r="N34" s="29"/>
      <c r="O34" s="29"/>
      <c r="P34" s="29"/>
    </row>
    <row r="35" spans="1:16" ht="12.75">
      <c r="A35" s="29"/>
      <c r="B35" s="31"/>
      <c r="C35" s="31"/>
      <c r="D35" s="32"/>
      <c r="E35" s="31"/>
      <c r="F35" s="32"/>
      <c r="G35" s="31"/>
      <c r="H35" s="29"/>
      <c r="I35" s="40">
        <v>24</v>
      </c>
      <c r="J35" s="41" t="s">
        <v>81</v>
      </c>
      <c r="K35" s="29"/>
      <c r="L35" s="29"/>
      <c r="M35" s="29"/>
      <c r="N35" s="29"/>
      <c r="O35" s="29"/>
      <c r="P35" s="29"/>
    </row>
    <row r="36" spans="1:16" ht="12.75">
      <c r="A36" s="29"/>
      <c r="B36" s="31"/>
      <c r="C36" s="31"/>
      <c r="D36" s="32"/>
      <c r="E36" s="31"/>
      <c r="F36" s="32"/>
      <c r="G36" s="31"/>
      <c r="H36" s="29"/>
      <c r="I36" s="40">
        <v>25</v>
      </c>
      <c r="J36" s="41" t="s">
        <v>82</v>
      </c>
      <c r="K36" s="29"/>
      <c r="L36" s="29"/>
      <c r="M36" s="29"/>
      <c r="N36" s="29"/>
      <c r="O36" s="29"/>
      <c r="P36" s="29"/>
    </row>
    <row r="37" spans="1:16" ht="12.75">
      <c r="A37" s="29"/>
      <c r="B37" s="31"/>
      <c r="C37" s="31"/>
      <c r="D37" s="29"/>
      <c r="E37" s="31"/>
      <c r="F37" s="29"/>
      <c r="G37" s="31"/>
      <c r="H37" s="29"/>
      <c r="I37" s="40">
        <v>26</v>
      </c>
      <c r="J37" s="41" t="s">
        <v>83</v>
      </c>
      <c r="K37" s="29"/>
      <c r="L37" s="29"/>
      <c r="M37" s="29"/>
      <c r="N37" s="29"/>
      <c r="O37" s="29"/>
      <c r="P37" s="29"/>
    </row>
    <row r="38" spans="1:16" ht="12.75">
      <c r="A38" s="29"/>
      <c r="B38" s="31"/>
      <c r="C38" s="31"/>
      <c r="D38" s="29"/>
      <c r="E38" s="31"/>
      <c r="F38" s="29"/>
      <c r="G38" s="31"/>
      <c r="H38" s="29"/>
      <c r="I38" s="40">
        <v>27</v>
      </c>
      <c r="J38" s="41" t="s">
        <v>84</v>
      </c>
      <c r="K38" s="29"/>
      <c r="L38" s="29"/>
      <c r="M38" s="29"/>
      <c r="N38" s="29"/>
      <c r="O38" s="29"/>
      <c r="P38" s="29"/>
    </row>
    <row r="39" spans="1:16" ht="12.75">
      <c r="A39" s="29"/>
      <c r="B39" s="31"/>
      <c r="C39" s="31"/>
      <c r="D39" s="29"/>
      <c r="E39" s="31"/>
      <c r="F39" s="29"/>
      <c r="G39" s="31"/>
      <c r="H39" s="29"/>
      <c r="I39" s="40">
        <v>28</v>
      </c>
      <c r="J39" s="41" t="s">
        <v>85</v>
      </c>
      <c r="K39" s="29"/>
      <c r="L39" s="29"/>
      <c r="M39" s="29"/>
      <c r="N39" s="29"/>
      <c r="O39" s="29"/>
      <c r="P39" s="29"/>
    </row>
    <row r="40" spans="1:16" ht="12.75">
      <c r="A40" s="29"/>
      <c r="B40" s="31"/>
      <c r="C40" s="31"/>
      <c r="D40" s="29"/>
      <c r="E40" s="31"/>
      <c r="F40" s="29"/>
      <c r="G40" s="31"/>
      <c r="H40" s="29"/>
      <c r="I40" s="40"/>
      <c r="J40" s="41"/>
      <c r="K40" s="29"/>
      <c r="L40" s="29"/>
      <c r="M40" s="29"/>
      <c r="N40" s="29"/>
      <c r="O40" s="29"/>
      <c r="P40" s="29"/>
    </row>
    <row r="41" spans="1:16" ht="12.75">
      <c r="A41" s="29"/>
      <c r="B41" s="31"/>
      <c r="C41" s="31"/>
      <c r="D41" s="29"/>
      <c r="E41" s="31"/>
      <c r="F41" s="29"/>
      <c r="G41" s="31"/>
      <c r="H41" s="29"/>
      <c r="I41" s="40"/>
      <c r="J41" s="154"/>
      <c r="K41" s="29"/>
      <c r="L41" s="29"/>
      <c r="M41" s="29"/>
      <c r="N41" s="29"/>
      <c r="O41" s="29"/>
      <c r="P41" s="29"/>
    </row>
    <row r="42" spans="1:16" ht="12.75">
      <c r="A42" s="29"/>
      <c r="B42" s="31"/>
      <c r="C42" s="31"/>
      <c r="D42" s="29"/>
      <c r="E42" s="31"/>
      <c r="F42" s="29"/>
      <c r="G42" s="31"/>
      <c r="H42" s="29"/>
      <c r="I42" s="40"/>
      <c r="J42" s="154"/>
      <c r="K42" s="29"/>
      <c r="L42" s="29"/>
      <c r="M42" s="29"/>
      <c r="N42" s="29"/>
      <c r="O42" s="29"/>
      <c r="P42" s="29"/>
    </row>
    <row r="43" spans="1:16" ht="12.75">
      <c r="A43" s="29"/>
      <c r="B43" s="31"/>
      <c r="C43" s="31"/>
      <c r="D43" s="29"/>
      <c r="E43" s="31"/>
      <c r="F43" s="29"/>
      <c r="G43" s="31"/>
      <c r="H43" s="29"/>
      <c r="I43" s="40"/>
      <c r="J43" s="154"/>
      <c r="K43" s="29"/>
      <c r="L43" s="29"/>
      <c r="M43" s="29"/>
      <c r="N43" s="29"/>
      <c r="O43" s="29"/>
      <c r="P43" s="29"/>
    </row>
    <row r="44" ht="12.75">
      <c r="I44" s="120"/>
    </row>
    <row r="45" ht="12.75">
      <c r="I45" s="120"/>
    </row>
    <row r="46" ht="12.75">
      <c r="I46" s="120"/>
    </row>
    <row r="47" ht="12.75">
      <c r="I47" s="120"/>
    </row>
  </sheetData>
  <mergeCells count="1">
    <mergeCell ref="I11:J11"/>
  </mergeCells>
  <dataValidations count="2">
    <dataValidation type="list" allowBlank="1" showInputMessage="1" showErrorMessage="1" promptTitle="Select Runner" prompt="from list" sqref="J10">
      <formula1>$D$10:$D$27</formula1>
    </dataValidation>
    <dataValidation type="list" allowBlank="1" showInputMessage="1" showErrorMessage="1" promptTitle="Select Runner" prompt="from list" sqref="J11">
      <formula1>$D$13:$D$29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H95"/>
  <sheetViews>
    <sheetView zoomScale="75" zoomScaleNormal="75" workbookViewId="0" topLeftCell="A1">
      <pane xSplit="7" topLeftCell="H1" activePane="topRight" state="frozen"/>
      <selection pane="topLeft" activeCell="A1" sqref="A1"/>
      <selection pane="topRight" activeCell="B5" sqref="B5"/>
    </sheetView>
  </sheetViews>
  <sheetFormatPr defaultColWidth="9.140625" defaultRowHeight="12.75"/>
  <cols>
    <col min="1" max="1" width="27.00390625" style="54" bestFit="1" customWidth="1"/>
    <col min="2" max="2" width="9.7109375" style="55" customWidth="1"/>
    <col min="3" max="3" width="4.7109375" style="56" customWidth="1"/>
    <col min="4" max="4" width="1.7109375" style="57" customWidth="1"/>
    <col min="5" max="5" width="9.7109375" style="55" customWidth="1"/>
    <col min="6" max="6" width="4.7109375" style="55" customWidth="1"/>
    <col min="7" max="7" width="1.7109375" style="57" customWidth="1"/>
    <col min="8" max="8" width="15.7109375" style="57" customWidth="1"/>
    <col min="9" max="9" width="5.7109375" style="60" customWidth="1"/>
    <col min="10" max="10" width="5.7109375" style="57" customWidth="1"/>
    <col min="11" max="11" width="5.7109375" style="59" customWidth="1"/>
    <col min="12" max="12" width="1.7109375" style="57" customWidth="1"/>
    <col min="13" max="13" width="15.7109375" style="57" customWidth="1"/>
    <col min="14" max="14" width="5.7109375" style="60" customWidth="1"/>
    <col min="15" max="15" width="5.7109375" style="57" customWidth="1"/>
    <col min="16" max="16" width="5.7109375" style="59" customWidth="1"/>
    <col min="17" max="17" width="1.7109375" style="57" customWidth="1"/>
    <col min="18" max="18" width="15.7109375" style="57" customWidth="1"/>
    <col min="19" max="19" width="5.7109375" style="60" customWidth="1"/>
    <col min="20" max="20" width="5.7109375" style="57" customWidth="1"/>
    <col min="21" max="21" width="5.7109375" style="59" customWidth="1"/>
    <col min="22" max="22" width="1.7109375" style="57" customWidth="1"/>
    <col min="23" max="23" width="15.7109375" style="57" customWidth="1"/>
    <col min="24" max="24" width="5.7109375" style="60" customWidth="1"/>
    <col min="25" max="25" width="5.7109375" style="57" customWidth="1"/>
    <col min="26" max="26" width="5.7109375" style="59" customWidth="1"/>
    <col min="27" max="27" width="1.7109375" style="57" customWidth="1"/>
    <col min="28" max="28" width="15.7109375" style="57" customWidth="1"/>
    <col min="29" max="29" width="5.7109375" style="60" customWidth="1"/>
    <col min="30" max="30" width="5.7109375" style="57" customWidth="1"/>
    <col min="31" max="31" width="5.7109375" style="59" customWidth="1"/>
    <col min="32" max="32" width="1.7109375" style="57" customWidth="1"/>
    <col min="33" max="33" width="15.7109375" style="57" customWidth="1"/>
    <col min="34" max="34" width="5.7109375" style="60" customWidth="1"/>
    <col min="35" max="35" width="5.7109375" style="57" customWidth="1"/>
    <col min="36" max="36" width="5.7109375" style="59" customWidth="1"/>
    <col min="37" max="37" width="1.7109375" style="57" customWidth="1"/>
    <col min="38" max="38" width="15.7109375" style="57" customWidth="1"/>
    <col min="39" max="39" width="5.7109375" style="60" customWidth="1"/>
    <col min="40" max="40" width="5.7109375" style="57" customWidth="1"/>
    <col min="41" max="41" width="5.7109375" style="59" customWidth="1"/>
    <col min="42" max="42" width="1.7109375" style="57" customWidth="1"/>
    <col min="43" max="43" width="15.7109375" style="57" customWidth="1"/>
    <col min="44" max="44" width="5.7109375" style="60" customWidth="1"/>
    <col min="45" max="45" width="5.7109375" style="57" customWidth="1"/>
    <col min="46" max="46" width="5.7109375" style="59" customWidth="1"/>
    <col min="47" max="47" width="1.7109375" style="57" customWidth="1"/>
    <col min="48" max="48" width="15.7109375" style="57" customWidth="1"/>
    <col min="49" max="49" width="5.7109375" style="60" customWidth="1"/>
    <col min="50" max="50" width="5.7109375" style="57" customWidth="1"/>
    <col min="51" max="51" width="5.7109375" style="59" customWidth="1"/>
    <col min="52" max="52" width="1.7109375" style="57" customWidth="1"/>
    <col min="53" max="53" width="16.7109375" style="57" customWidth="1"/>
    <col min="54" max="54" width="6.7109375" style="60" customWidth="1"/>
    <col min="55" max="55" width="6.7109375" style="57" customWidth="1"/>
    <col min="56" max="56" width="6.7109375" style="59" customWidth="1"/>
    <col min="57" max="57" width="1.7109375" style="57" customWidth="1"/>
    <col min="58" max="58" width="16.7109375" style="57" customWidth="1"/>
    <col min="59" max="59" width="6.7109375" style="60" customWidth="1"/>
    <col min="60" max="60" width="6.7109375" style="57" customWidth="1"/>
    <col min="61" max="61" width="6.7109375" style="59" customWidth="1"/>
    <col min="62" max="62" width="1.7109375" style="57" customWidth="1"/>
    <col min="63" max="63" width="16.7109375" style="57" customWidth="1"/>
    <col min="64" max="64" width="6.7109375" style="60" customWidth="1"/>
    <col min="65" max="65" width="6.7109375" style="57" customWidth="1"/>
    <col min="66" max="66" width="6.7109375" style="59" customWidth="1"/>
    <col min="67" max="67" width="1.7109375" style="57" customWidth="1"/>
    <col min="68" max="68" width="16.7109375" style="57" customWidth="1"/>
    <col min="69" max="69" width="6.7109375" style="60" customWidth="1"/>
    <col min="70" max="70" width="6.7109375" style="57" customWidth="1"/>
    <col min="71" max="71" width="6.7109375" style="59" customWidth="1"/>
    <col min="72" max="72" width="1.7109375" style="57" customWidth="1"/>
    <col min="73" max="73" width="16.7109375" style="57" customWidth="1"/>
    <col min="74" max="74" width="6.7109375" style="60" customWidth="1"/>
    <col min="75" max="75" width="6.7109375" style="57" customWidth="1"/>
    <col min="76" max="76" width="6.7109375" style="59" customWidth="1"/>
    <col min="77" max="77" width="1.7109375" style="57" customWidth="1"/>
    <col min="78" max="78" width="16.7109375" style="57" customWidth="1"/>
    <col min="79" max="79" width="6.7109375" style="60" customWidth="1"/>
    <col min="80" max="80" width="6.7109375" style="57" customWidth="1"/>
    <col min="81" max="81" width="6.7109375" style="59" customWidth="1"/>
    <col min="82" max="82" width="1.7109375" style="57" customWidth="1"/>
    <col min="83" max="83" width="16.7109375" style="57" customWidth="1"/>
    <col min="84" max="84" width="6.7109375" style="60" customWidth="1"/>
    <col min="85" max="85" width="6.7109375" style="57" customWidth="1"/>
    <col min="86" max="86" width="6.7109375" style="59" customWidth="1"/>
    <col min="87" max="87" width="1.7109375" style="57" customWidth="1"/>
    <col min="88" max="16384" width="9.140625" style="57" customWidth="1"/>
  </cols>
  <sheetData>
    <row r="2" spans="1:86" s="76" customFormat="1" ht="19.5" customHeight="1">
      <c r="A2" s="75"/>
      <c r="B2" s="42"/>
      <c r="C2" s="43"/>
      <c r="E2" s="42"/>
      <c r="F2" s="42"/>
      <c r="H2" s="62" t="s">
        <v>5</v>
      </c>
      <c r="I2" s="67">
        <v>2.3</v>
      </c>
      <c r="J2" s="68" t="s">
        <v>9</v>
      </c>
      <c r="K2" s="83" t="s">
        <v>11</v>
      </c>
      <c r="M2" s="62" t="s">
        <v>12</v>
      </c>
      <c r="N2" s="67">
        <f>Dist1</f>
        <v>2.3</v>
      </c>
      <c r="O2" s="68" t="s">
        <v>9</v>
      </c>
      <c r="P2" s="83" t="s">
        <v>11</v>
      </c>
      <c r="R2" s="62" t="s">
        <v>13</v>
      </c>
      <c r="S2" s="67">
        <f>Dist1</f>
        <v>2.3</v>
      </c>
      <c r="T2" s="68" t="s">
        <v>9</v>
      </c>
      <c r="U2" s="83" t="s">
        <v>11</v>
      </c>
      <c r="W2" s="62" t="s">
        <v>14</v>
      </c>
      <c r="X2" s="67">
        <f>Dist1</f>
        <v>2.3</v>
      </c>
      <c r="Y2" s="68" t="s">
        <v>9</v>
      </c>
      <c r="Z2" s="83" t="s">
        <v>11</v>
      </c>
      <c r="AB2" s="62" t="s">
        <v>15</v>
      </c>
      <c r="AC2" s="67">
        <v>3.75</v>
      </c>
      <c r="AD2" s="68" t="s">
        <v>9</v>
      </c>
      <c r="AE2" s="83" t="s">
        <v>11</v>
      </c>
      <c r="AG2" s="62" t="s">
        <v>16</v>
      </c>
      <c r="AH2" s="67">
        <v>3.95</v>
      </c>
      <c r="AI2" s="68" t="s">
        <v>9</v>
      </c>
      <c r="AJ2" s="83" t="s">
        <v>11</v>
      </c>
      <c r="AL2" s="62" t="s">
        <v>17</v>
      </c>
      <c r="AM2" s="67">
        <v>3.7</v>
      </c>
      <c r="AN2" s="68" t="s">
        <v>9</v>
      </c>
      <c r="AO2" s="83" t="s">
        <v>11</v>
      </c>
      <c r="AQ2" s="62" t="s">
        <v>18</v>
      </c>
      <c r="AR2" s="67">
        <v>4.35</v>
      </c>
      <c r="AS2" s="68" t="s">
        <v>9</v>
      </c>
      <c r="AT2" s="83" t="s">
        <v>11</v>
      </c>
      <c r="AV2" s="42"/>
      <c r="AW2" s="45"/>
      <c r="AX2" s="46"/>
      <c r="AY2" s="47"/>
      <c r="BB2" s="77"/>
      <c r="BD2" s="78"/>
      <c r="BG2" s="77"/>
      <c r="BI2" s="78"/>
      <c r="BL2" s="77"/>
      <c r="BN2" s="78"/>
      <c r="BQ2" s="77"/>
      <c r="BS2" s="78"/>
      <c r="BV2" s="77"/>
      <c r="BX2" s="78"/>
      <c r="CA2" s="77"/>
      <c r="CC2" s="78"/>
      <c r="CF2" s="77"/>
      <c r="CH2" s="78"/>
    </row>
    <row r="3" spans="1:86" s="76" customFormat="1" ht="19.5" customHeight="1">
      <c r="A3" s="61" t="s">
        <v>0</v>
      </c>
      <c r="B3" s="62" t="s">
        <v>19</v>
      </c>
      <c r="C3" s="63" t="s">
        <v>10</v>
      </c>
      <c r="E3" s="62" t="s">
        <v>20</v>
      </c>
      <c r="F3" s="63" t="s">
        <v>10</v>
      </c>
      <c r="H3" s="69" t="s">
        <v>6</v>
      </c>
      <c r="I3" s="70" t="s">
        <v>7</v>
      </c>
      <c r="J3" s="84" t="s">
        <v>8</v>
      </c>
      <c r="K3" s="85" t="s">
        <v>10</v>
      </c>
      <c r="M3" s="69" t="s">
        <v>6</v>
      </c>
      <c r="N3" s="70" t="s">
        <v>7</v>
      </c>
      <c r="O3" s="84" t="s">
        <v>8</v>
      </c>
      <c r="P3" s="85" t="s">
        <v>10</v>
      </c>
      <c r="R3" s="69" t="s">
        <v>6</v>
      </c>
      <c r="S3" s="70" t="s">
        <v>7</v>
      </c>
      <c r="T3" s="84" t="s">
        <v>8</v>
      </c>
      <c r="U3" s="85" t="s">
        <v>10</v>
      </c>
      <c r="W3" s="69" t="s">
        <v>6</v>
      </c>
      <c r="X3" s="70" t="s">
        <v>7</v>
      </c>
      <c r="Y3" s="84" t="s">
        <v>8</v>
      </c>
      <c r="Z3" s="85" t="s">
        <v>10</v>
      </c>
      <c r="AB3" s="69" t="s">
        <v>6</v>
      </c>
      <c r="AC3" s="70" t="s">
        <v>7</v>
      </c>
      <c r="AD3" s="84" t="s">
        <v>8</v>
      </c>
      <c r="AE3" s="85" t="s">
        <v>10</v>
      </c>
      <c r="AG3" s="69" t="s">
        <v>6</v>
      </c>
      <c r="AH3" s="70" t="s">
        <v>7</v>
      </c>
      <c r="AI3" s="84" t="s">
        <v>8</v>
      </c>
      <c r="AJ3" s="85" t="s">
        <v>10</v>
      </c>
      <c r="AL3" s="69" t="s">
        <v>6</v>
      </c>
      <c r="AM3" s="70" t="s">
        <v>7</v>
      </c>
      <c r="AN3" s="84" t="s">
        <v>8</v>
      </c>
      <c r="AO3" s="85" t="s">
        <v>10</v>
      </c>
      <c r="AQ3" s="69" t="s">
        <v>6</v>
      </c>
      <c r="AR3" s="70" t="s">
        <v>7</v>
      </c>
      <c r="AS3" s="84" t="s">
        <v>8</v>
      </c>
      <c r="AT3" s="85" t="s">
        <v>10</v>
      </c>
      <c r="AV3" s="48"/>
      <c r="AW3" s="49"/>
      <c r="AX3" s="47"/>
      <c r="AY3" s="47"/>
      <c r="BB3" s="77"/>
      <c r="BD3" s="78"/>
      <c r="BG3" s="77"/>
      <c r="BI3" s="78"/>
      <c r="BL3" s="77"/>
      <c r="BN3" s="78"/>
      <c r="BQ3" s="77"/>
      <c r="BS3" s="78"/>
      <c r="BV3" s="77"/>
      <c r="BX3" s="78"/>
      <c r="CA3" s="77"/>
      <c r="CC3" s="78"/>
      <c r="CF3" s="77"/>
      <c r="CH3" s="78"/>
    </row>
    <row r="4" spans="1:51" s="44" customFormat="1" ht="19.5" customHeight="1">
      <c r="A4" s="64" t="str">
        <f>'Team Selection'!B3</f>
        <v>A Wookie &amp; 4 Ewoks</v>
      </c>
      <c r="B4" s="65">
        <f aca="true" t="shared" si="0" ref="B4:B10">SUM(E4,E14)</f>
        <v>0.1537615740740741</v>
      </c>
      <c r="C4" s="66">
        <f aca="true" t="shared" si="1" ref="C4:C10">RANK(B4,B$4:B$10,2)</f>
        <v>1</v>
      </c>
      <c r="E4" s="65">
        <f>SUM(I4,N4,S4,X4,AC4,AH4,AM4,AR4)</f>
        <v>0.06381944444444444</v>
      </c>
      <c r="F4" s="66">
        <f aca="true" t="shared" si="2" ref="F4:F10">RANK(E4,E$4:E$10,2)</f>
        <v>2</v>
      </c>
      <c r="H4" s="71" t="s">
        <v>62</v>
      </c>
      <c r="I4" s="72">
        <v>0.005775462962962962</v>
      </c>
      <c r="J4" s="25">
        <f aca="true" t="shared" si="3" ref="J4:J10">I4/Dist1</f>
        <v>0.0025110708534621575</v>
      </c>
      <c r="K4" s="26">
        <f aca="true" t="shared" si="4" ref="K4:K10">IF(I4&gt;0,RANK(I4,$H$55:$H$86,1),)</f>
        <v>15</v>
      </c>
      <c r="M4" s="71" t="s">
        <v>75</v>
      </c>
      <c r="N4" s="72">
        <v>0.005706018518518519</v>
      </c>
      <c r="O4" s="25">
        <f aca="true" t="shared" si="5" ref="O4:O10">N4/Dist1</f>
        <v>0.0024808776167471822</v>
      </c>
      <c r="P4" s="26">
        <f aca="true" t="shared" si="6" ref="P4:P10">IF(N4&gt;0,RANK(N4,$H$55:$H$86,1),)</f>
        <v>12</v>
      </c>
      <c r="R4" s="71" t="s">
        <v>85</v>
      </c>
      <c r="S4" s="72">
        <v>0.007129629629629631</v>
      </c>
      <c r="T4" s="25">
        <f aca="true" t="shared" si="7" ref="T4:T10">S4/Dist2</f>
        <v>0.0030998389694041877</v>
      </c>
      <c r="U4" s="26">
        <f aca="true" t="shared" si="8" ref="U4:U10">IF(S4&gt;0,RANK(S4,$H$55:$H$86,1),)</f>
        <v>26</v>
      </c>
      <c r="W4" s="71" t="s">
        <v>52</v>
      </c>
      <c r="X4" s="72">
        <v>0.004814814814814815</v>
      </c>
      <c r="Y4" s="25">
        <f aca="true" t="shared" si="9" ref="Y4:Y10">X4/Dist3</f>
        <v>0.002093397745571659</v>
      </c>
      <c r="Z4" s="26">
        <f aca="true" t="shared" si="10" ref="Z4:Z10">IF(X4&gt;0,RANK(X4,$H$55:$H$86,1),)</f>
        <v>1</v>
      </c>
      <c r="AB4" s="71" t="s">
        <v>62</v>
      </c>
      <c r="AC4" s="72">
        <v>0.00954861111111111</v>
      </c>
      <c r="AD4" s="25">
        <f aca="true" t="shared" si="11" ref="AD4:AD10">AC4/Dist4</f>
        <v>0.002546296296296296</v>
      </c>
      <c r="AE4" s="26">
        <f aca="true" t="shared" si="12" ref="AE4:AE10">IF(AC4&gt;0,RANK(AC4,AC$4:AC$10,1),)</f>
        <v>1</v>
      </c>
      <c r="AG4" s="71" t="s">
        <v>75</v>
      </c>
      <c r="AH4" s="72">
        <v>0.01005787037037037</v>
      </c>
      <c r="AI4" s="25">
        <f aca="true" t="shared" si="13" ref="AI4:AI10">AH4/Dist5</f>
        <v>0.002546296296296296</v>
      </c>
      <c r="AJ4" s="26">
        <f aca="true" t="shared" si="14" ref="AJ4:AJ10">IF(AH4&gt;0,RANK(AH4,AH$4:AH$10,1),)</f>
        <v>5</v>
      </c>
      <c r="AL4" s="71" t="s">
        <v>85</v>
      </c>
      <c r="AM4" s="72">
        <v>0.01144675925925926</v>
      </c>
      <c r="AN4" s="25">
        <f aca="true" t="shared" si="15" ref="AN4:AN10">AM4/Dist6</f>
        <v>0.003093718718718719</v>
      </c>
      <c r="AO4" s="26">
        <f aca="true" t="shared" si="16" ref="AO4:AO10">IF(AM4&gt;0,RANK(AM4,AM$4:AM$10,1),)</f>
        <v>7</v>
      </c>
      <c r="AQ4" s="71" t="s">
        <v>52</v>
      </c>
      <c r="AR4" s="72">
        <v>0.009340277777777777</v>
      </c>
      <c r="AS4" s="25">
        <f aca="true" t="shared" si="17" ref="AS4:AS10">AR4/Dist7</f>
        <v>0.002147190293742018</v>
      </c>
      <c r="AT4" s="26">
        <f aca="true" t="shared" si="18" ref="AT4:AT10">IF(AR4&gt;0,RANK(AR4,AR$4:AR$10,1),)</f>
        <v>1</v>
      </c>
      <c r="AV4" s="50"/>
      <c r="AW4" s="51"/>
      <c r="AX4" s="52"/>
      <c r="AY4" s="53"/>
    </row>
    <row r="5" spans="1:51" s="44" customFormat="1" ht="19.5" customHeight="1">
      <c r="A5" s="64" t="str">
        <f>'Team Selection'!B4</f>
        <v>Troys Terrors</v>
      </c>
      <c r="B5" s="65">
        <f t="shared" si="0"/>
        <v>0.1633101851851852</v>
      </c>
      <c r="C5" s="66">
        <f t="shared" si="1"/>
        <v>6</v>
      </c>
      <c r="E5" s="65">
        <f aca="true" t="shared" si="19" ref="E5:E10">SUM(I5,N5,S5,X5,AC5,AH5,AM5,AR5)</f>
        <v>0.06707175925925926</v>
      </c>
      <c r="F5" s="66">
        <f t="shared" si="2"/>
        <v>7</v>
      </c>
      <c r="H5" s="71" t="s">
        <v>83</v>
      </c>
      <c r="I5" s="72">
        <v>0.0075</v>
      </c>
      <c r="J5" s="25">
        <f t="shared" si="3"/>
        <v>0.0032608695652173916</v>
      </c>
      <c r="K5" s="26">
        <f t="shared" si="4"/>
        <v>28</v>
      </c>
      <c r="M5" s="71" t="s">
        <v>53</v>
      </c>
      <c r="N5" s="72">
        <v>0.005891203703703703</v>
      </c>
      <c r="O5" s="25">
        <f t="shared" si="5"/>
        <v>0.002561392914653784</v>
      </c>
      <c r="P5" s="26">
        <f t="shared" si="6"/>
        <v>16</v>
      </c>
      <c r="R5" s="71" t="s">
        <v>76</v>
      </c>
      <c r="S5" s="72">
        <v>0.0060648148148148145</v>
      </c>
      <c r="T5" s="25">
        <f t="shared" si="7"/>
        <v>0.002636876006441224</v>
      </c>
      <c r="U5" s="26">
        <f t="shared" si="8"/>
        <v>17</v>
      </c>
      <c r="W5" s="71" t="s">
        <v>46</v>
      </c>
      <c r="X5" s="72">
        <v>0.005219907407407407</v>
      </c>
      <c r="Y5" s="25">
        <f t="shared" si="9"/>
        <v>0.002269524959742351</v>
      </c>
      <c r="Z5" s="26">
        <f t="shared" si="10"/>
        <v>4</v>
      </c>
      <c r="AB5" s="71" t="s">
        <v>83</v>
      </c>
      <c r="AC5" s="72">
        <v>0.012164351851851852</v>
      </c>
      <c r="AD5" s="25">
        <f t="shared" si="11"/>
        <v>0.003243827160493827</v>
      </c>
      <c r="AE5" s="26">
        <f t="shared" si="12"/>
        <v>7</v>
      </c>
      <c r="AG5" s="71" t="s">
        <v>53</v>
      </c>
      <c r="AH5" s="72">
        <v>0.010219907407407408</v>
      </c>
      <c r="AI5" s="25">
        <f t="shared" si="13"/>
        <v>0.0025873183309892173</v>
      </c>
      <c r="AJ5" s="26">
        <f t="shared" si="14"/>
        <v>7</v>
      </c>
      <c r="AL5" s="71" t="s">
        <v>76</v>
      </c>
      <c r="AM5" s="72">
        <v>0.009942129629629629</v>
      </c>
      <c r="AN5" s="25">
        <f t="shared" si="15"/>
        <v>0.0026870620620620617</v>
      </c>
      <c r="AO5" s="26">
        <f t="shared" si="16"/>
        <v>3</v>
      </c>
      <c r="AQ5" s="71" t="s">
        <v>46</v>
      </c>
      <c r="AR5" s="72">
        <v>0.010069444444444445</v>
      </c>
      <c r="AS5" s="25">
        <f t="shared" si="17"/>
        <v>0.002314814814814815</v>
      </c>
      <c r="AT5" s="26">
        <f t="shared" si="18"/>
        <v>4</v>
      </c>
      <c r="AV5" s="50"/>
      <c r="AW5" s="51"/>
      <c r="AX5" s="52"/>
      <c r="AY5" s="53"/>
    </row>
    <row r="6" spans="1:51" s="44" customFormat="1" ht="19.5" customHeight="1">
      <c r="A6" s="64" t="str">
        <f>'Team Selection'!B5</f>
        <v>Green Machine</v>
      </c>
      <c r="B6" s="65">
        <f t="shared" si="0"/>
        <v>0.1568287037037037</v>
      </c>
      <c r="C6" s="66">
        <f t="shared" si="1"/>
        <v>3</v>
      </c>
      <c r="E6" s="65">
        <f t="shared" si="19"/>
        <v>0.06456018518518518</v>
      </c>
      <c r="F6" s="66">
        <f t="shared" si="2"/>
        <v>5</v>
      </c>
      <c r="H6" s="71" t="s">
        <v>84</v>
      </c>
      <c r="I6" s="72">
        <v>0.007361111111111111</v>
      </c>
      <c r="J6" s="25">
        <f t="shared" si="3"/>
        <v>0.0032004830917874397</v>
      </c>
      <c r="K6" s="26">
        <f t="shared" si="4"/>
        <v>27</v>
      </c>
      <c r="M6" s="71" t="s">
        <v>74</v>
      </c>
      <c r="N6" s="72">
        <v>0.005740740740740742</v>
      </c>
      <c r="O6" s="25">
        <f t="shared" si="5"/>
        <v>0.0024959742351046703</v>
      </c>
      <c r="P6" s="26">
        <f t="shared" si="6"/>
        <v>13</v>
      </c>
      <c r="R6" s="71" t="s">
        <v>61</v>
      </c>
      <c r="S6" s="72">
        <v>0.005740740740740742</v>
      </c>
      <c r="T6" s="25">
        <f t="shared" si="7"/>
        <v>0.0024959742351046703</v>
      </c>
      <c r="U6" s="26">
        <f t="shared" si="8"/>
        <v>13</v>
      </c>
      <c r="W6" s="71" t="s">
        <v>45</v>
      </c>
      <c r="X6" s="72">
        <v>0.005208333333333333</v>
      </c>
      <c r="Y6" s="25">
        <f t="shared" si="9"/>
        <v>0.0022644927536231885</v>
      </c>
      <c r="Z6" s="26">
        <f t="shared" si="10"/>
        <v>3</v>
      </c>
      <c r="AB6" s="71" t="s">
        <v>84</v>
      </c>
      <c r="AC6" s="72">
        <v>0.011076388888888887</v>
      </c>
      <c r="AD6" s="25">
        <f t="shared" si="11"/>
        <v>0.002953703703703703</v>
      </c>
      <c r="AE6" s="26">
        <f t="shared" si="12"/>
        <v>6</v>
      </c>
      <c r="AG6" s="71" t="s">
        <v>74</v>
      </c>
      <c r="AH6" s="72">
        <v>0.010011574074074074</v>
      </c>
      <c r="AI6" s="25">
        <f t="shared" si="13"/>
        <v>0.0025345757149554614</v>
      </c>
      <c r="AJ6" s="26">
        <f t="shared" si="14"/>
        <v>4</v>
      </c>
      <c r="AL6" s="71" t="s">
        <v>61</v>
      </c>
      <c r="AM6" s="72">
        <v>0.00949074074074074</v>
      </c>
      <c r="AN6" s="25">
        <f t="shared" si="15"/>
        <v>0.002565065065065065</v>
      </c>
      <c r="AO6" s="26">
        <f t="shared" si="16"/>
        <v>1</v>
      </c>
      <c r="AQ6" s="71" t="s">
        <v>45</v>
      </c>
      <c r="AR6" s="72">
        <v>0.009930555555555555</v>
      </c>
      <c r="AS6" s="25">
        <f t="shared" si="17"/>
        <v>0.0022828863346104726</v>
      </c>
      <c r="AT6" s="26">
        <f t="shared" si="18"/>
        <v>2</v>
      </c>
      <c r="AV6" s="50"/>
      <c r="AW6" s="51"/>
      <c r="AX6" s="52"/>
      <c r="AY6" s="53"/>
    </row>
    <row r="7" spans="1:51" s="44" customFormat="1" ht="19.5" customHeight="1">
      <c r="A7" s="64" t="str">
        <f>'Team Selection'!B6</f>
        <v>Purple Patch</v>
      </c>
      <c r="B7" s="65">
        <f t="shared" si="0"/>
        <v>0.16675925925925925</v>
      </c>
      <c r="C7" s="66">
        <f t="shared" si="1"/>
        <v>7</v>
      </c>
      <c r="E7" s="65">
        <f t="shared" si="19"/>
        <v>0.06456018518518518</v>
      </c>
      <c r="F7" s="66">
        <f t="shared" si="2"/>
        <v>5</v>
      </c>
      <c r="H7" s="71" t="s">
        <v>63</v>
      </c>
      <c r="I7" s="72">
        <v>0.006087962962962964</v>
      </c>
      <c r="J7" s="25">
        <f t="shared" si="3"/>
        <v>0.0026469404186795498</v>
      </c>
      <c r="K7" s="26">
        <f t="shared" si="4"/>
        <v>19</v>
      </c>
      <c r="M7" s="71" t="s">
        <v>73</v>
      </c>
      <c r="N7" s="72">
        <v>0.005625</v>
      </c>
      <c r="O7" s="25">
        <f t="shared" si="5"/>
        <v>0.0024456521739130437</v>
      </c>
      <c r="P7" s="26">
        <f t="shared" si="6"/>
        <v>11</v>
      </c>
      <c r="R7" s="71" t="s">
        <v>79</v>
      </c>
      <c r="S7" s="72">
        <v>0.006608796296296297</v>
      </c>
      <c r="T7" s="25">
        <f t="shared" si="7"/>
        <v>0.0028733896940418683</v>
      </c>
      <c r="U7" s="26">
        <f t="shared" si="8"/>
        <v>24</v>
      </c>
      <c r="W7" s="71" t="s">
        <v>58</v>
      </c>
      <c r="X7" s="72">
        <v>0.005138888888888889</v>
      </c>
      <c r="Y7" s="25">
        <f t="shared" si="9"/>
        <v>0.0022342995169082128</v>
      </c>
      <c r="Z7" s="26">
        <f t="shared" si="10"/>
        <v>2</v>
      </c>
      <c r="AB7" s="71" t="s">
        <v>63</v>
      </c>
      <c r="AC7" s="72">
        <v>0.009953703703703704</v>
      </c>
      <c r="AD7" s="25">
        <f t="shared" si="11"/>
        <v>0.002654320987654321</v>
      </c>
      <c r="AE7" s="26">
        <f t="shared" si="12"/>
        <v>3</v>
      </c>
      <c r="AG7" s="71" t="s">
        <v>73</v>
      </c>
      <c r="AH7" s="72">
        <v>0.010069444444444445</v>
      </c>
      <c r="AI7" s="25">
        <f t="shared" si="13"/>
        <v>0.002549226441631505</v>
      </c>
      <c r="AJ7" s="26">
        <f t="shared" si="14"/>
        <v>6</v>
      </c>
      <c r="AL7" s="71" t="s">
        <v>79</v>
      </c>
      <c r="AM7" s="72">
        <v>0.011111111111111112</v>
      </c>
      <c r="AN7" s="25">
        <f t="shared" si="15"/>
        <v>0.003003003003003003</v>
      </c>
      <c r="AO7" s="26">
        <f t="shared" si="16"/>
        <v>6</v>
      </c>
      <c r="AQ7" s="71" t="s">
        <v>58</v>
      </c>
      <c r="AR7" s="72">
        <v>0.009965277777777778</v>
      </c>
      <c r="AS7" s="25">
        <f t="shared" si="17"/>
        <v>0.002290868454661558</v>
      </c>
      <c r="AT7" s="26">
        <f t="shared" si="18"/>
        <v>3</v>
      </c>
      <c r="AV7" s="50"/>
      <c r="AW7" s="51"/>
      <c r="AX7" s="52"/>
      <c r="AY7" s="53"/>
    </row>
    <row r="8" spans="1:51" s="44" customFormat="1" ht="19.5" customHeight="1">
      <c r="A8" s="64" t="str">
        <f>'Team Selection'!B7</f>
        <v>All The Presidents Men</v>
      </c>
      <c r="B8" s="65">
        <f t="shared" si="0"/>
        <v>0.15402777777777776</v>
      </c>
      <c r="C8" s="66">
        <f t="shared" si="1"/>
        <v>2</v>
      </c>
      <c r="E8" s="65">
        <f t="shared" si="19"/>
        <v>0.06309027777777777</v>
      </c>
      <c r="F8" s="66">
        <f t="shared" si="2"/>
        <v>1</v>
      </c>
      <c r="H8" s="71" t="s">
        <v>78</v>
      </c>
      <c r="I8" s="72">
        <v>0.006203703703703704</v>
      </c>
      <c r="J8" s="25">
        <f t="shared" si="3"/>
        <v>0.002697262479871176</v>
      </c>
      <c r="K8" s="26">
        <f t="shared" si="4"/>
        <v>21</v>
      </c>
      <c r="M8" s="71" t="s">
        <v>57</v>
      </c>
      <c r="N8" s="72">
        <v>0.005439814814814815</v>
      </c>
      <c r="O8" s="25">
        <f t="shared" si="5"/>
        <v>0.0023651368760064413</v>
      </c>
      <c r="P8" s="26">
        <f t="shared" si="6"/>
        <v>8</v>
      </c>
      <c r="R8" s="71" t="s">
        <v>81</v>
      </c>
      <c r="S8" s="72">
        <v>0.006516203703703704</v>
      </c>
      <c r="T8" s="25">
        <f t="shared" si="7"/>
        <v>0.002833132045088567</v>
      </c>
      <c r="U8" s="26">
        <f t="shared" si="8"/>
        <v>23</v>
      </c>
      <c r="W8" s="71" t="s">
        <v>48</v>
      </c>
      <c r="X8" s="72">
        <v>0.005277777777777777</v>
      </c>
      <c r="Y8" s="25">
        <f t="shared" si="9"/>
        <v>0.002294685990338164</v>
      </c>
      <c r="Z8" s="26">
        <f t="shared" si="10"/>
        <v>5</v>
      </c>
      <c r="AB8" s="71" t="s">
        <v>78</v>
      </c>
      <c r="AC8" s="72">
        <v>0.01005787037037037</v>
      </c>
      <c r="AD8" s="25">
        <f t="shared" si="11"/>
        <v>0.0026820987654320987</v>
      </c>
      <c r="AE8" s="26">
        <f t="shared" si="12"/>
        <v>4</v>
      </c>
      <c r="AG8" s="71" t="s">
        <v>57</v>
      </c>
      <c r="AH8" s="72">
        <v>0.00954861111111111</v>
      </c>
      <c r="AI8" s="25">
        <f t="shared" si="13"/>
        <v>0.0024173699015471164</v>
      </c>
      <c r="AJ8" s="26">
        <f t="shared" si="14"/>
        <v>1</v>
      </c>
      <c r="AL8" s="71" t="s">
        <v>81</v>
      </c>
      <c r="AM8" s="72">
        <v>0.009884259259259258</v>
      </c>
      <c r="AN8" s="25">
        <f t="shared" si="15"/>
        <v>0.002671421421421421</v>
      </c>
      <c r="AO8" s="26">
        <f t="shared" si="16"/>
        <v>2</v>
      </c>
      <c r="AQ8" s="71" t="s">
        <v>48</v>
      </c>
      <c r="AR8" s="72">
        <v>0.010162037037037037</v>
      </c>
      <c r="AS8" s="25">
        <f t="shared" si="17"/>
        <v>0.0023361004682843764</v>
      </c>
      <c r="AT8" s="26">
        <f t="shared" si="18"/>
        <v>5</v>
      </c>
      <c r="AV8" s="50"/>
      <c r="AW8" s="51"/>
      <c r="AX8" s="52"/>
      <c r="AY8" s="53"/>
    </row>
    <row r="9" spans="1:51" s="44" customFormat="1" ht="19.5" customHeight="1">
      <c r="A9" s="64" t="str">
        <f>'Team Selection'!B8</f>
        <v>White Lightening</v>
      </c>
      <c r="B9" s="65">
        <f t="shared" si="0"/>
        <v>0.1574074074074074</v>
      </c>
      <c r="C9" s="66">
        <f t="shared" si="1"/>
        <v>4</v>
      </c>
      <c r="E9" s="65">
        <f t="shared" si="19"/>
        <v>0.06409722222222222</v>
      </c>
      <c r="F9" s="66">
        <f t="shared" si="2"/>
        <v>3</v>
      </c>
      <c r="H9" s="71" t="s">
        <v>77</v>
      </c>
      <c r="I9" s="72">
        <v>0.006296296296296296</v>
      </c>
      <c r="J9" s="25">
        <f t="shared" si="3"/>
        <v>0.002737520128824477</v>
      </c>
      <c r="K9" s="26">
        <f t="shared" si="4"/>
        <v>22</v>
      </c>
      <c r="M9" s="71" t="s">
        <v>72</v>
      </c>
      <c r="N9" s="72">
        <v>0.005555555555555556</v>
      </c>
      <c r="O9" s="25">
        <f t="shared" si="5"/>
        <v>0.002415458937198068</v>
      </c>
      <c r="P9" s="26">
        <f t="shared" si="6"/>
        <v>10</v>
      </c>
      <c r="R9" s="71" t="s">
        <v>80</v>
      </c>
      <c r="S9" s="72">
        <v>0.00619212962962963</v>
      </c>
      <c r="T9" s="25">
        <f t="shared" si="7"/>
        <v>0.002692230273752013</v>
      </c>
      <c r="U9" s="26">
        <f t="shared" si="8"/>
        <v>20</v>
      </c>
      <c r="W9" s="71" t="s">
        <v>64</v>
      </c>
      <c r="X9" s="72">
        <v>0.005324074074074075</v>
      </c>
      <c r="Y9" s="25">
        <f t="shared" si="9"/>
        <v>0.002314814814814815</v>
      </c>
      <c r="Z9" s="26">
        <f t="shared" si="10"/>
        <v>6</v>
      </c>
      <c r="AB9" s="71" t="s">
        <v>77</v>
      </c>
      <c r="AC9" s="72">
        <v>0.01025462962962963</v>
      </c>
      <c r="AD9" s="25">
        <f t="shared" si="11"/>
        <v>0.0027345679012345677</v>
      </c>
      <c r="AE9" s="26">
        <f t="shared" si="12"/>
        <v>5</v>
      </c>
      <c r="AG9" s="71" t="s">
        <v>72</v>
      </c>
      <c r="AH9" s="72">
        <v>0.009814814814814814</v>
      </c>
      <c r="AI9" s="25">
        <f t="shared" si="13"/>
        <v>0.002484763244256915</v>
      </c>
      <c r="AJ9" s="26">
        <f t="shared" si="14"/>
        <v>3</v>
      </c>
      <c r="AL9" s="71" t="s">
        <v>80</v>
      </c>
      <c r="AM9" s="72">
        <v>0.01037037037037037</v>
      </c>
      <c r="AN9" s="25">
        <f t="shared" si="15"/>
        <v>0.0028028028028028026</v>
      </c>
      <c r="AO9" s="26">
        <f t="shared" si="16"/>
        <v>4</v>
      </c>
      <c r="AQ9" s="71" t="s">
        <v>64</v>
      </c>
      <c r="AR9" s="72">
        <v>0.010289351851851852</v>
      </c>
      <c r="AS9" s="25">
        <f t="shared" si="17"/>
        <v>0.0023653682418050236</v>
      </c>
      <c r="AT9" s="26">
        <f t="shared" si="18"/>
        <v>6</v>
      </c>
      <c r="AV9" s="50"/>
      <c r="AW9" s="51"/>
      <c r="AX9" s="52"/>
      <c r="AY9" s="53"/>
    </row>
    <row r="10" spans="1:51" s="44" customFormat="1" ht="19.5" customHeight="1">
      <c r="A10" s="64" t="str">
        <f>'Team Selection'!B9</f>
        <v>Mitho's Fab Four</v>
      </c>
      <c r="B10" s="65">
        <f t="shared" si="0"/>
        <v>0.15984953703703703</v>
      </c>
      <c r="C10" s="66">
        <f t="shared" si="1"/>
        <v>5</v>
      </c>
      <c r="E10" s="65">
        <f t="shared" si="19"/>
        <v>0.06443287037037038</v>
      </c>
      <c r="F10" s="66">
        <f t="shared" si="2"/>
        <v>4</v>
      </c>
      <c r="H10" s="71" t="s">
        <v>60</v>
      </c>
      <c r="I10" s="72">
        <v>0.006076388888888889</v>
      </c>
      <c r="J10" s="25">
        <f t="shared" si="3"/>
        <v>0.002641908212560387</v>
      </c>
      <c r="K10" s="26">
        <f t="shared" si="4"/>
        <v>18</v>
      </c>
      <c r="M10" s="71" t="s">
        <v>59</v>
      </c>
      <c r="N10" s="72">
        <v>0.005451388888888888</v>
      </c>
      <c r="O10" s="25">
        <f t="shared" si="5"/>
        <v>0.0023701690821256037</v>
      </c>
      <c r="P10" s="26">
        <f t="shared" si="6"/>
        <v>9</v>
      </c>
      <c r="R10" s="71" t="s">
        <v>82</v>
      </c>
      <c r="S10" s="72">
        <v>0.006701388888888889</v>
      </c>
      <c r="T10" s="25">
        <f t="shared" si="7"/>
        <v>0.0029136473429951693</v>
      </c>
      <c r="U10" s="26">
        <f t="shared" si="8"/>
        <v>25</v>
      </c>
      <c r="W10" s="71" t="s">
        <v>47</v>
      </c>
      <c r="X10" s="72">
        <v>0.005335648148148148</v>
      </c>
      <c r="Y10" s="25">
        <f t="shared" si="9"/>
        <v>0.0023198470209339775</v>
      </c>
      <c r="Z10" s="26">
        <f t="shared" si="10"/>
        <v>7</v>
      </c>
      <c r="AB10" s="71" t="s">
        <v>60</v>
      </c>
      <c r="AC10" s="72">
        <v>0.009907407407407408</v>
      </c>
      <c r="AD10" s="25">
        <f t="shared" si="11"/>
        <v>0.0026419753086419757</v>
      </c>
      <c r="AE10" s="26">
        <f t="shared" si="12"/>
        <v>2</v>
      </c>
      <c r="AG10" s="71" t="s">
        <v>59</v>
      </c>
      <c r="AH10" s="72">
        <v>0.0096875</v>
      </c>
      <c r="AI10" s="25">
        <f t="shared" si="13"/>
        <v>0.0024525316455696203</v>
      </c>
      <c r="AJ10" s="26">
        <f t="shared" si="14"/>
        <v>2</v>
      </c>
      <c r="AL10" s="71" t="s">
        <v>82</v>
      </c>
      <c r="AM10" s="72">
        <v>0.010833333333333334</v>
      </c>
      <c r="AN10" s="25">
        <f t="shared" si="15"/>
        <v>0.002927927927927928</v>
      </c>
      <c r="AO10" s="26">
        <f t="shared" si="16"/>
        <v>5</v>
      </c>
      <c r="AQ10" s="71" t="s">
        <v>47</v>
      </c>
      <c r="AR10" s="72">
        <v>0.010439814814814813</v>
      </c>
      <c r="AS10" s="25">
        <f t="shared" si="17"/>
        <v>0.0023999574286930605</v>
      </c>
      <c r="AT10" s="26">
        <f t="shared" si="18"/>
        <v>7</v>
      </c>
      <c r="AV10" s="50"/>
      <c r="AW10" s="51"/>
      <c r="AX10" s="52"/>
      <c r="AY10" s="53"/>
    </row>
    <row r="11" spans="9:85" ht="19.5" customHeight="1">
      <c r="I11" s="58"/>
      <c r="J11" s="59"/>
      <c r="N11" s="58"/>
      <c r="O11" s="59"/>
      <c r="S11" s="58"/>
      <c r="T11" s="59"/>
      <c r="X11" s="58"/>
      <c r="Y11" s="59"/>
      <c r="AC11" s="58"/>
      <c r="AD11" s="59"/>
      <c r="AH11" s="58"/>
      <c r="AI11" s="59"/>
      <c r="AM11" s="58"/>
      <c r="AN11" s="59"/>
      <c r="AR11" s="58"/>
      <c r="AS11" s="59"/>
      <c r="AW11" s="58"/>
      <c r="AX11" s="59"/>
      <c r="BB11" s="58"/>
      <c r="BC11" s="59"/>
      <c r="BG11" s="58"/>
      <c r="BH11" s="59"/>
      <c r="BL11" s="58"/>
      <c r="BM11" s="59"/>
      <c r="BQ11" s="58"/>
      <c r="BR11" s="59"/>
      <c r="BV11" s="58"/>
      <c r="BW11" s="59"/>
      <c r="CA11" s="58"/>
      <c r="CB11" s="59"/>
      <c r="CF11" s="58"/>
      <c r="CG11" s="59"/>
    </row>
    <row r="12" spans="1:86" s="76" customFormat="1" ht="19.5" customHeight="1">
      <c r="A12" s="79"/>
      <c r="B12" s="80"/>
      <c r="C12" s="81"/>
      <c r="E12" s="80"/>
      <c r="F12" s="80"/>
      <c r="H12" s="62" t="s">
        <v>21</v>
      </c>
      <c r="I12" s="67">
        <v>4.5</v>
      </c>
      <c r="J12" s="68" t="s">
        <v>9</v>
      </c>
      <c r="K12" s="83" t="s">
        <v>11</v>
      </c>
      <c r="M12" s="62" t="s">
        <v>22</v>
      </c>
      <c r="N12" s="67">
        <v>3.5</v>
      </c>
      <c r="O12" s="68" t="s">
        <v>9</v>
      </c>
      <c r="P12" s="83" t="s">
        <v>11</v>
      </c>
      <c r="R12" s="62" t="s">
        <v>23</v>
      </c>
      <c r="S12" s="67">
        <v>4.57</v>
      </c>
      <c r="T12" s="68" t="s">
        <v>9</v>
      </c>
      <c r="U12" s="83" t="s">
        <v>11</v>
      </c>
      <c r="W12" s="62" t="s">
        <v>24</v>
      </c>
      <c r="X12" s="67">
        <v>2.83</v>
      </c>
      <c r="Y12" s="68" t="s">
        <v>9</v>
      </c>
      <c r="Z12" s="83" t="s">
        <v>11</v>
      </c>
      <c r="AB12" s="62" t="s">
        <v>25</v>
      </c>
      <c r="AC12" s="67">
        <v>4.75</v>
      </c>
      <c r="AD12" s="68" t="s">
        <v>9</v>
      </c>
      <c r="AE12" s="83" t="s">
        <v>11</v>
      </c>
      <c r="AG12" s="62" t="s">
        <v>26</v>
      </c>
      <c r="AH12" s="67">
        <v>4.2</v>
      </c>
      <c r="AI12" s="68" t="s">
        <v>9</v>
      </c>
      <c r="AJ12" s="83" t="s">
        <v>11</v>
      </c>
      <c r="AL12" s="62" t="s">
        <v>54</v>
      </c>
      <c r="AM12" s="67">
        <v>4.8</v>
      </c>
      <c r="AN12" s="68" t="s">
        <v>9</v>
      </c>
      <c r="AO12" s="83" t="s">
        <v>11</v>
      </c>
      <c r="AQ12" s="62" t="s">
        <v>55</v>
      </c>
      <c r="AR12" s="67">
        <v>5.6</v>
      </c>
      <c r="AS12" s="68" t="s">
        <v>9</v>
      </c>
      <c r="AT12" s="83" t="s">
        <v>11</v>
      </c>
      <c r="AV12" s="42"/>
      <c r="AW12" s="45"/>
      <c r="AX12" s="46"/>
      <c r="AY12" s="47"/>
      <c r="BB12" s="82"/>
      <c r="BC12" s="78"/>
      <c r="BD12" s="78"/>
      <c r="BG12" s="82"/>
      <c r="BH12" s="78"/>
      <c r="BI12" s="78"/>
      <c r="BL12" s="82"/>
      <c r="BM12" s="78"/>
      <c r="BN12" s="78"/>
      <c r="BQ12" s="82"/>
      <c r="BR12" s="78"/>
      <c r="BS12" s="78"/>
      <c r="BV12" s="82"/>
      <c r="BW12" s="78"/>
      <c r="BX12" s="78"/>
      <c r="CA12" s="82"/>
      <c r="CB12" s="78"/>
      <c r="CC12" s="78"/>
      <c r="CF12" s="82"/>
      <c r="CG12" s="78"/>
      <c r="CH12" s="78"/>
    </row>
    <row r="13" spans="1:86" s="76" customFormat="1" ht="19.5" customHeight="1">
      <c r="A13" s="73" t="s">
        <v>0</v>
      </c>
      <c r="B13" s="80"/>
      <c r="C13" s="81"/>
      <c r="E13" s="62" t="s">
        <v>27</v>
      </c>
      <c r="F13" s="63" t="s">
        <v>10</v>
      </c>
      <c r="H13" s="69" t="s">
        <v>6</v>
      </c>
      <c r="I13" s="70" t="s">
        <v>7</v>
      </c>
      <c r="J13" s="84" t="s">
        <v>8</v>
      </c>
      <c r="K13" s="85" t="s">
        <v>10</v>
      </c>
      <c r="M13" s="69" t="s">
        <v>6</v>
      </c>
      <c r="N13" s="70" t="s">
        <v>7</v>
      </c>
      <c r="O13" s="84" t="s">
        <v>8</v>
      </c>
      <c r="P13" s="85" t="s">
        <v>10</v>
      </c>
      <c r="R13" s="69" t="s">
        <v>6</v>
      </c>
      <c r="S13" s="70" t="s">
        <v>7</v>
      </c>
      <c r="T13" s="84" t="s">
        <v>8</v>
      </c>
      <c r="U13" s="85" t="s">
        <v>10</v>
      </c>
      <c r="W13" s="69" t="s">
        <v>6</v>
      </c>
      <c r="X13" s="70" t="s">
        <v>7</v>
      </c>
      <c r="Y13" s="84" t="s">
        <v>8</v>
      </c>
      <c r="Z13" s="85" t="s">
        <v>10</v>
      </c>
      <c r="AB13" s="69" t="s">
        <v>6</v>
      </c>
      <c r="AC13" s="70" t="s">
        <v>7</v>
      </c>
      <c r="AD13" s="84" t="s">
        <v>8</v>
      </c>
      <c r="AE13" s="85" t="s">
        <v>10</v>
      </c>
      <c r="AG13" s="69" t="s">
        <v>6</v>
      </c>
      <c r="AH13" s="70" t="s">
        <v>7</v>
      </c>
      <c r="AI13" s="84" t="s">
        <v>8</v>
      </c>
      <c r="AJ13" s="85" t="s">
        <v>10</v>
      </c>
      <c r="AL13" s="69" t="s">
        <v>6</v>
      </c>
      <c r="AM13" s="70" t="s">
        <v>7</v>
      </c>
      <c r="AN13" s="84" t="s">
        <v>8</v>
      </c>
      <c r="AO13" s="85" t="s">
        <v>10</v>
      </c>
      <c r="AQ13" s="69" t="s">
        <v>6</v>
      </c>
      <c r="AR13" s="70" t="s">
        <v>7</v>
      </c>
      <c r="AS13" s="84" t="s">
        <v>8</v>
      </c>
      <c r="AT13" s="85" t="s">
        <v>10</v>
      </c>
      <c r="AV13" s="48"/>
      <c r="AW13" s="49"/>
      <c r="AX13" s="47"/>
      <c r="AY13" s="47"/>
      <c r="BB13" s="82"/>
      <c r="BC13" s="78"/>
      <c r="BD13" s="78"/>
      <c r="BG13" s="82"/>
      <c r="BH13" s="78"/>
      <c r="BI13" s="78"/>
      <c r="BL13" s="82"/>
      <c r="BM13" s="78"/>
      <c r="BN13" s="78"/>
      <c r="BQ13" s="82"/>
      <c r="BR13" s="78"/>
      <c r="BS13" s="78"/>
      <c r="BV13" s="82"/>
      <c r="BW13" s="78"/>
      <c r="BX13" s="78"/>
      <c r="CA13" s="82"/>
      <c r="CB13" s="78"/>
      <c r="CC13" s="78"/>
      <c r="CF13" s="82"/>
      <c r="CG13" s="78"/>
      <c r="CH13" s="78"/>
    </row>
    <row r="14" spans="1:85" ht="19.5" customHeight="1">
      <c r="A14" s="74" t="str">
        <f aca="true" t="shared" si="20" ref="A14:A20">A4</f>
        <v>A Wookie &amp; 4 Ewoks</v>
      </c>
      <c r="E14" s="65">
        <f aca="true" t="shared" si="21" ref="E14:E20">SUM(I14,N14,S14,X14,AC14,AH14,AM14,AR14)</f>
        <v>0.08994212962962964</v>
      </c>
      <c r="F14" s="66">
        <f aca="true" t="shared" si="22" ref="F14:F20">RANK(E14,E$14:E$20,2)</f>
        <v>1</v>
      </c>
      <c r="H14" s="71" t="s">
        <v>62</v>
      </c>
      <c r="I14" s="72">
        <v>0.011689814814814814</v>
      </c>
      <c r="J14" s="25">
        <f aca="true" t="shared" si="23" ref="J14:J20">I14/Dist8</f>
        <v>0.002597736625514403</v>
      </c>
      <c r="K14" s="26">
        <f aca="true" t="shared" si="24" ref="K14:K20">IF(I14&gt;0,RANK(I14,I$14:I$20,1),)</f>
        <v>4</v>
      </c>
      <c r="L14" s="44"/>
      <c r="M14" s="71" t="s">
        <v>85</v>
      </c>
      <c r="N14" s="72">
        <v>0.010868055555555556</v>
      </c>
      <c r="O14" s="25">
        <f aca="true" t="shared" si="25" ref="O14:O20">N14/N$12</f>
        <v>0.00310515873015873</v>
      </c>
      <c r="P14" s="26">
        <f aca="true" t="shared" si="26" ref="P14:P20">IF(N14&gt;0,RANK(N14,N$14:N$20,1),)</f>
        <v>5</v>
      </c>
      <c r="Q14" s="44"/>
      <c r="R14" s="71" t="s">
        <v>75</v>
      </c>
      <c r="S14" s="72">
        <v>0.011423611111111112</v>
      </c>
      <c r="T14" s="25">
        <f aca="true" t="shared" si="27" ref="T14:T20">S14/Dist9</f>
        <v>0.0024996960855823</v>
      </c>
      <c r="U14" s="26">
        <f aca="true" t="shared" si="28" ref="U14:U20">IF(S14&gt;0,RANK(S14,S$14:S$20,1),)</f>
        <v>2</v>
      </c>
      <c r="V14" s="44"/>
      <c r="W14" s="71" t="s">
        <v>85</v>
      </c>
      <c r="X14" s="72">
        <v>0.008391203703703705</v>
      </c>
      <c r="Y14" s="25">
        <f>X14/Dist10</f>
        <v>0.002965089647951839</v>
      </c>
      <c r="Z14" s="26">
        <f aca="true" t="shared" si="29" ref="Z14:Z20">IF(X14&gt;0,RANK(X14,X$14:X$20,1),)</f>
        <v>5</v>
      </c>
      <c r="AA14" s="44"/>
      <c r="AB14" s="71" t="s">
        <v>52</v>
      </c>
      <c r="AC14" s="72">
        <v>0.01042824074074074</v>
      </c>
      <c r="AD14" s="25">
        <f aca="true" t="shared" si="30" ref="AD14:AD20">AC14/Dist11</f>
        <v>0.00219541910331384</v>
      </c>
      <c r="AE14" s="26">
        <f aca="true" t="shared" si="31" ref="AE14:AE20">IF(AC14&gt;0,RANK(AC14,AC$14:AC$20,1),)</f>
        <v>1</v>
      </c>
      <c r="AF14" s="44"/>
      <c r="AG14" s="71" t="s">
        <v>62</v>
      </c>
      <c r="AH14" s="72">
        <v>0.01085648148148148</v>
      </c>
      <c r="AI14" s="25">
        <f aca="true" t="shared" si="32" ref="AI14:AI20">AH14/Dist12</f>
        <v>0.0025848765432098762</v>
      </c>
      <c r="AJ14" s="26">
        <f aca="true" t="shared" si="33" ref="AJ14:AJ20">IF(AH14&gt;0,RANK(AH14,AH$14:AH$20,1),)</f>
        <v>1</v>
      </c>
      <c r="AK14" s="44"/>
      <c r="AL14" s="71" t="s">
        <v>75</v>
      </c>
      <c r="AM14" s="72">
        <v>0.01329861111111111</v>
      </c>
      <c r="AN14" s="25">
        <f aca="true" t="shared" si="34" ref="AN14:AN20">AM14/Dist13</f>
        <v>0.0027705439814814815</v>
      </c>
      <c r="AO14" s="26">
        <f aca="true" t="shared" si="35" ref="AO14:AO20">IF(AM14&gt;0,RANK(AM14,AM$14:AM$20,1),)</f>
        <v>2</v>
      </c>
      <c r="AP14" s="44"/>
      <c r="AQ14" s="71" t="s">
        <v>52</v>
      </c>
      <c r="AR14" s="72">
        <v>0.01298611111111111</v>
      </c>
      <c r="AS14" s="25">
        <f aca="true" t="shared" si="36" ref="AS14:AS20">AR14/Dist14</f>
        <v>0.0023189484126984127</v>
      </c>
      <c r="AT14" s="26">
        <f aca="true" t="shared" si="37" ref="AT14:AT20">IF(AR14&gt;0,RANK(AR14,AR$14:AR$20,1),)</f>
        <v>1</v>
      </c>
      <c r="AU14" s="44"/>
      <c r="AV14" s="50"/>
      <c r="AW14" s="51"/>
      <c r="AX14" s="52"/>
      <c r="AY14" s="53"/>
      <c r="AZ14" s="44"/>
      <c r="BB14" s="58"/>
      <c r="BC14" s="59"/>
      <c r="BG14" s="58"/>
      <c r="BH14" s="59"/>
      <c r="BL14" s="58"/>
      <c r="BM14" s="59"/>
      <c r="BQ14" s="58"/>
      <c r="BR14" s="59"/>
      <c r="BV14" s="58"/>
      <c r="BW14" s="59"/>
      <c r="CA14" s="58"/>
      <c r="CB14" s="59"/>
      <c r="CF14" s="58"/>
      <c r="CG14" s="59"/>
    </row>
    <row r="15" spans="1:85" ht="19.5" customHeight="1">
      <c r="A15" s="74" t="str">
        <f t="shared" si="20"/>
        <v>Troys Terrors</v>
      </c>
      <c r="E15" s="65">
        <f t="shared" si="21"/>
        <v>0.09623842592592592</v>
      </c>
      <c r="F15" s="66">
        <f t="shared" si="22"/>
        <v>6</v>
      </c>
      <c r="H15" s="71" t="s">
        <v>76</v>
      </c>
      <c r="I15" s="72">
        <v>0.011967592592592592</v>
      </c>
      <c r="J15" s="25">
        <f t="shared" si="23"/>
        <v>0.0026594650205761317</v>
      </c>
      <c r="K15" s="26">
        <f t="shared" si="24"/>
        <v>6</v>
      </c>
      <c r="L15" s="44"/>
      <c r="M15" s="71" t="s">
        <v>83</v>
      </c>
      <c r="N15" s="72">
        <v>0.011655092592592594</v>
      </c>
      <c r="O15" s="25">
        <f t="shared" si="25"/>
        <v>0.003330026455026455</v>
      </c>
      <c r="P15" s="26">
        <f t="shared" si="26"/>
        <v>6</v>
      </c>
      <c r="Q15" s="44"/>
      <c r="R15" s="71" t="s">
        <v>53</v>
      </c>
      <c r="S15" s="72">
        <v>0.011712962962962965</v>
      </c>
      <c r="T15" s="25">
        <f t="shared" si="27"/>
        <v>0.0025630115892697953</v>
      </c>
      <c r="U15" s="26">
        <f t="shared" si="28"/>
        <v>4</v>
      </c>
      <c r="V15" s="44"/>
      <c r="W15" s="71" t="s">
        <v>83</v>
      </c>
      <c r="X15" s="72">
        <v>0.009189814814814814</v>
      </c>
      <c r="Y15" s="25">
        <f aca="true" t="shared" si="38" ref="Y15:Y20">X15/Dist10</f>
        <v>0.003247284386860358</v>
      </c>
      <c r="Z15" s="26">
        <f t="shared" si="29"/>
        <v>6</v>
      </c>
      <c r="AA15" s="44"/>
      <c r="AB15" s="71" t="s">
        <v>46</v>
      </c>
      <c r="AC15" s="72">
        <v>0.011284722222222222</v>
      </c>
      <c r="AD15" s="25">
        <f t="shared" si="30"/>
        <v>0.0023757309941520467</v>
      </c>
      <c r="AE15" s="26">
        <f t="shared" si="31"/>
        <v>3</v>
      </c>
      <c r="AF15" s="44"/>
      <c r="AG15" s="71" t="s">
        <v>76</v>
      </c>
      <c r="AH15" s="72">
        <v>0.011828703703703704</v>
      </c>
      <c r="AI15" s="25">
        <f t="shared" si="32"/>
        <v>0.002816358024691358</v>
      </c>
      <c r="AJ15" s="26">
        <f t="shared" si="33"/>
        <v>7</v>
      </c>
      <c r="AK15" s="44"/>
      <c r="AL15" s="71" t="s">
        <v>53</v>
      </c>
      <c r="AM15" s="72">
        <v>0.013668981481481482</v>
      </c>
      <c r="AN15" s="25">
        <f t="shared" si="34"/>
        <v>0.0028477044753086422</v>
      </c>
      <c r="AO15" s="26">
        <f t="shared" si="35"/>
        <v>5</v>
      </c>
      <c r="AP15" s="44"/>
      <c r="AQ15" s="71" t="s">
        <v>46</v>
      </c>
      <c r="AR15" s="72">
        <v>0.014930555555555556</v>
      </c>
      <c r="AS15" s="25">
        <f t="shared" si="36"/>
        <v>0.0026661706349206354</v>
      </c>
      <c r="AT15" s="26">
        <f t="shared" si="37"/>
        <v>6</v>
      </c>
      <c r="AU15" s="44"/>
      <c r="AV15" s="50"/>
      <c r="AW15" s="51"/>
      <c r="AX15" s="52"/>
      <c r="AY15" s="53"/>
      <c r="AZ15" s="44"/>
      <c r="BB15" s="58"/>
      <c r="BC15" s="59"/>
      <c r="BG15" s="58"/>
      <c r="BH15" s="59"/>
      <c r="BL15" s="58"/>
      <c r="BM15" s="59"/>
      <c r="BQ15" s="58"/>
      <c r="BR15" s="59"/>
      <c r="BV15" s="58"/>
      <c r="BW15" s="59"/>
      <c r="CA15" s="58"/>
      <c r="CB15" s="59"/>
      <c r="CF15" s="58"/>
      <c r="CG15" s="59"/>
    </row>
    <row r="16" spans="1:85" ht="19.5" customHeight="1">
      <c r="A16" s="74" t="str">
        <f t="shared" si="20"/>
        <v>Green Machine</v>
      </c>
      <c r="E16" s="65">
        <f t="shared" si="21"/>
        <v>0.09226851851851851</v>
      </c>
      <c r="F16" s="66">
        <f t="shared" si="22"/>
        <v>3</v>
      </c>
      <c r="H16" s="71" t="s">
        <v>61</v>
      </c>
      <c r="I16" s="72">
        <v>0.01175925925925926</v>
      </c>
      <c r="J16" s="25">
        <f t="shared" si="23"/>
        <v>0.0026131687242798352</v>
      </c>
      <c r="K16" s="26">
        <f t="shared" si="24"/>
        <v>5</v>
      </c>
      <c r="L16" s="44"/>
      <c r="M16" s="71" t="s">
        <v>84</v>
      </c>
      <c r="N16" s="72">
        <v>0.010844907407407407</v>
      </c>
      <c r="O16" s="25">
        <f t="shared" si="25"/>
        <v>0.0030985449735449733</v>
      </c>
      <c r="P16" s="26">
        <f t="shared" si="26"/>
        <v>4</v>
      </c>
      <c r="Q16" s="44"/>
      <c r="R16" s="71" t="s">
        <v>74</v>
      </c>
      <c r="S16" s="72">
        <v>0.01144675925925926</v>
      </c>
      <c r="T16" s="25">
        <f t="shared" si="27"/>
        <v>0.0025047613258773</v>
      </c>
      <c r="U16" s="26">
        <f t="shared" si="28"/>
        <v>3</v>
      </c>
      <c r="V16" s="44"/>
      <c r="W16" s="71" t="s">
        <v>84</v>
      </c>
      <c r="X16" s="72">
        <v>0.008055555555555555</v>
      </c>
      <c r="Y16" s="25">
        <f t="shared" si="38"/>
        <v>0.002846486062033765</v>
      </c>
      <c r="Z16" s="26">
        <f t="shared" si="29"/>
        <v>3</v>
      </c>
      <c r="AA16" s="44"/>
      <c r="AB16" s="71" t="s">
        <v>45</v>
      </c>
      <c r="AC16" s="72">
        <v>0.011145833333333334</v>
      </c>
      <c r="AD16" s="25">
        <f t="shared" si="30"/>
        <v>0.0023464912280701756</v>
      </c>
      <c r="AE16" s="26">
        <f t="shared" si="31"/>
        <v>2</v>
      </c>
      <c r="AF16" s="44"/>
      <c r="AG16" s="71" t="s">
        <v>61</v>
      </c>
      <c r="AH16" s="72">
        <v>0.011087962962962964</v>
      </c>
      <c r="AI16" s="25">
        <f t="shared" si="32"/>
        <v>0.0026399911816578484</v>
      </c>
      <c r="AJ16" s="26">
        <f t="shared" si="33"/>
        <v>2</v>
      </c>
      <c r="AK16" s="44"/>
      <c r="AL16" s="71" t="s">
        <v>74</v>
      </c>
      <c r="AM16" s="72">
        <v>0.013506944444444445</v>
      </c>
      <c r="AN16" s="25">
        <f t="shared" si="34"/>
        <v>0.0028139467592592595</v>
      </c>
      <c r="AO16" s="26">
        <f t="shared" si="35"/>
        <v>4</v>
      </c>
      <c r="AP16" s="44"/>
      <c r="AQ16" s="71" t="s">
        <v>45</v>
      </c>
      <c r="AR16" s="72">
        <v>0.014421296296296295</v>
      </c>
      <c r="AS16" s="25">
        <f t="shared" si="36"/>
        <v>0.0025752314814814813</v>
      </c>
      <c r="AT16" s="26">
        <f t="shared" si="37"/>
        <v>3</v>
      </c>
      <c r="AU16" s="44"/>
      <c r="AV16" s="50"/>
      <c r="AW16" s="51"/>
      <c r="AX16" s="52"/>
      <c r="AY16" s="53"/>
      <c r="AZ16" s="44"/>
      <c r="BB16" s="58"/>
      <c r="BC16" s="59"/>
      <c r="BG16" s="58"/>
      <c r="BH16" s="59"/>
      <c r="BL16" s="58"/>
      <c r="BM16" s="59"/>
      <c r="BQ16" s="58"/>
      <c r="BR16" s="59"/>
      <c r="BV16" s="58"/>
      <c r="BW16" s="59"/>
      <c r="CA16" s="58"/>
      <c r="CB16" s="59"/>
      <c r="CF16" s="58"/>
      <c r="CG16" s="59"/>
    </row>
    <row r="17" spans="1:85" ht="19.5" customHeight="1">
      <c r="A17" s="74" t="str">
        <f t="shared" si="20"/>
        <v>Purple Patch</v>
      </c>
      <c r="E17" s="65">
        <f t="shared" si="21"/>
        <v>0.10219907407407407</v>
      </c>
      <c r="F17" s="66">
        <f t="shared" si="22"/>
        <v>7</v>
      </c>
      <c r="H17" s="71" t="s">
        <v>58</v>
      </c>
      <c r="I17" s="72">
        <v>0.010393518518518519</v>
      </c>
      <c r="J17" s="25">
        <f t="shared" si="23"/>
        <v>0.002309670781893004</v>
      </c>
      <c r="K17" s="26">
        <f t="shared" si="24"/>
        <v>1</v>
      </c>
      <c r="L17" s="44"/>
      <c r="M17" s="71" t="s">
        <v>79</v>
      </c>
      <c r="N17" s="72">
        <v>0.013217592592592593</v>
      </c>
      <c r="O17" s="25">
        <f t="shared" si="25"/>
        <v>0.0037764550264550267</v>
      </c>
      <c r="P17" s="26">
        <f t="shared" si="26"/>
        <v>7</v>
      </c>
      <c r="Q17" s="44"/>
      <c r="R17" s="71" t="s">
        <v>63</v>
      </c>
      <c r="S17" s="72">
        <v>0.0125</v>
      </c>
      <c r="T17" s="25">
        <f t="shared" si="27"/>
        <v>0.002735229759299781</v>
      </c>
      <c r="U17" s="26">
        <f t="shared" si="28"/>
        <v>7</v>
      </c>
      <c r="V17" s="44"/>
      <c r="W17" s="71" t="s">
        <v>79</v>
      </c>
      <c r="X17" s="72">
        <v>0.010416666666666666</v>
      </c>
      <c r="Y17" s="25">
        <f t="shared" si="38"/>
        <v>0.003680800942285041</v>
      </c>
      <c r="Z17" s="26">
        <f t="shared" si="29"/>
        <v>7</v>
      </c>
      <c r="AA17" s="44"/>
      <c r="AB17" s="71" t="s">
        <v>73</v>
      </c>
      <c r="AC17" s="72">
        <v>0.015601851851851851</v>
      </c>
      <c r="AD17" s="25">
        <f t="shared" si="30"/>
        <v>0.0032846003898635476</v>
      </c>
      <c r="AE17" s="26">
        <f t="shared" si="31"/>
        <v>7</v>
      </c>
      <c r="AF17" s="44"/>
      <c r="AG17" s="71" t="s">
        <v>63</v>
      </c>
      <c r="AH17" s="72">
        <v>0.011805555555555555</v>
      </c>
      <c r="AI17" s="25">
        <f t="shared" si="32"/>
        <v>0.0028108465608465607</v>
      </c>
      <c r="AJ17" s="26">
        <f t="shared" si="33"/>
        <v>6</v>
      </c>
      <c r="AK17" s="44"/>
      <c r="AL17" s="71" t="s">
        <v>73</v>
      </c>
      <c r="AM17" s="72">
        <v>0.014467592592592593</v>
      </c>
      <c r="AN17" s="25">
        <f t="shared" si="34"/>
        <v>0.0030140817901234567</v>
      </c>
      <c r="AO17" s="26">
        <f t="shared" si="35"/>
        <v>6</v>
      </c>
      <c r="AP17" s="44"/>
      <c r="AQ17" s="71" t="s">
        <v>58</v>
      </c>
      <c r="AR17" s="72">
        <v>0.013796296296296298</v>
      </c>
      <c r="AS17" s="25">
        <f t="shared" si="36"/>
        <v>0.0024636243386243393</v>
      </c>
      <c r="AT17" s="26">
        <f t="shared" si="37"/>
        <v>2</v>
      </c>
      <c r="AU17" s="44"/>
      <c r="AV17" s="50"/>
      <c r="AW17" s="51"/>
      <c r="AX17" s="52"/>
      <c r="AY17" s="53"/>
      <c r="AZ17" s="44"/>
      <c r="BB17" s="58"/>
      <c r="BC17" s="59"/>
      <c r="BG17" s="58"/>
      <c r="BH17" s="59"/>
      <c r="BL17" s="58"/>
      <c r="BM17" s="59"/>
      <c r="BQ17" s="58"/>
      <c r="BR17" s="59"/>
      <c r="BV17" s="58"/>
      <c r="BW17" s="59"/>
      <c r="CA17" s="58"/>
      <c r="CB17" s="59"/>
      <c r="CF17" s="58"/>
      <c r="CG17" s="59"/>
    </row>
    <row r="18" spans="1:85" ht="19.5" customHeight="1">
      <c r="A18" s="74" t="str">
        <f t="shared" si="20"/>
        <v>All The Presidents Men</v>
      </c>
      <c r="E18" s="65">
        <f t="shared" si="21"/>
        <v>0.0909375</v>
      </c>
      <c r="F18" s="66">
        <f t="shared" si="22"/>
        <v>2</v>
      </c>
      <c r="H18" s="71" t="s">
        <v>78</v>
      </c>
      <c r="I18" s="72">
        <v>0.01244212962962963</v>
      </c>
      <c r="J18" s="25">
        <f t="shared" si="23"/>
        <v>0.002764917695473251</v>
      </c>
      <c r="K18" s="26">
        <f t="shared" si="24"/>
        <v>7</v>
      </c>
      <c r="L18" s="44"/>
      <c r="M18" s="71" t="s">
        <v>81</v>
      </c>
      <c r="N18" s="72">
        <v>0.009965277777777778</v>
      </c>
      <c r="O18" s="25">
        <f t="shared" si="25"/>
        <v>0.0028472222222222223</v>
      </c>
      <c r="P18" s="26">
        <f t="shared" si="26"/>
        <v>1</v>
      </c>
      <c r="Q18" s="44"/>
      <c r="R18" s="71" t="s">
        <v>57</v>
      </c>
      <c r="S18" s="72">
        <v>0.011157407407407408</v>
      </c>
      <c r="T18" s="25">
        <f t="shared" si="27"/>
        <v>0.0024414458221898045</v>
      </c>
      <c r="U18" s="26">
        <f t="shared" si="28"/>
        <v>1</v>
      </c>
      <c r="V18" s="44"/>
      <c r="W18" s="71" t="s">
        <v>81</v>
      </c>
      <c r="X18" s="72">
        <v>0.007395833333333334</v>
      </c>
      <c r="Y18" s="25">
        <f t="shared" si="38"/>
        <v>0.0026133686690223796</v>
      </c>
      <c r="Z18" s="26">
        <f t="shared" si="29"/>
        <v>1</v>
      </c>
      <c r="AA18" s="44"/>
      <c r="AB18" s="71" t="s">
        <v>48</v>
      </c>
      <c r="AC18" s="72">
        <v>0.011296296296296296</v>
      </c>
      <c r="AD18" s="25">
        <f t="shared" si="30"/>
        <v>0.002378167641325536</v>
      </c>
      <c r="AE18" s="26">
        <f t="shared" si="31"/>
        <v>4</v>
      </c>
      <c r="AF18" s="44"/>
      <c r="AG18" s="71" t="s">
        <v>78</v>
      </c>
      <c r="AH18" s="72">
        <v>0.011481481481481483</v>
      </c>
      <c r="AI18" s="25">
        <f t="shared" si="32"/>
        <v>0.002733686067019401</v>
      </c>
      <c r="AJ18" s="26">
        <f t="shared" si="33"/>
        <v>4</v>
      </c>
      <c r="AK18" s="44"/>
      <c r="AL18" s="71" t="s">
        <v>57</v>
      </c>
      <c r="AM18" s="72">
        <v>0.012627314814814815</v>
      </c>
      <c r="AN18" s="25">
        <f t="shared" si="34"/>
        <v>0.0026306905864197532</v>
      </c>
      <c r="AO18" s="26">
        <f t="shared" si="35"/>
        <v>1</v>
      </c>
      <c r="AP18" s="44"/>
      <c r="AQ18" s="71" t="s">
        <v>48</v>
      </c>
      <c r="AR18" s="72">
        <v>0.014571759259259258</v>
      </c>
      <c r="AS18" s="25">
        <f t="shared" si="36"/>
        <v>0.0026020998677248677</v>
      </c>
      <c r="AT18" s="26">
        <f t="shared" si="37"/>
        <v>4</v>
      </c>
      <c r="AU18" s="44"/>
      <c r="AV18" s="50"/>
      <c r="AW18" s="51"/>
      <c r="AX18" s="52"/>
      <c r="AY18" s="53"/>
      <c r="AZ18" s="44"/>
      <c r="BB18" s="58"/>
      <c r="BC18" s="59"/>
      <c r="BG18" s="58"/>
      <c r="BH18" s="59"/>
      <c r="BL18" s="58"/>
      <c r="BM18" s="59"/>
      <c r="BQ18" s="58"/>
      <c r="BR18" s="59"/>
      <c r="BV18" s="58"/>
      <c r="BW18" s="59"/>
      <c r="CA18" s="58"/>
      <c r="CB18" s="59"/>
      <c r="CF18" s="58"/>
      <c r="CG18" s="59"/>
    </row>
    <row r="19" spans="1:85" ht="19.5" customHeight="1">
      <c r="A19" s="74" t="str">
        <f t="shared" si="20"/>
        <v>White Lightening</v>
      </c>
      <c r="E19" s="65">
        <f t="shared" si="21"/>
        <v>0.09331018518518519</v>
      </c>
      <c r="F19" s="66">
        <f t="shared" si="22"/>
        <v>4</v>
      </c>
      <c r="H19" s="71" t="s">
        <v>72</v>
      </c>
      <c r="I19" s="72">
        <v>0.011307870370370371</v>
      </c>
      <c r="J19" s="25">
        <f t="shared" si="23"/>
        <v>0.002512860082304527</v>
      </c>
      <c r="K19" s="26">
        <f t="shared" si="24"/>
        <v>3</v>
      </c>
      <c r="L19" s="44"/>
      <c r="M19" s="71" t="s">
        <v>80</v>
      </c>
      <c r="N19" s="72">
        <v>0.010300925925925927</v>
      </c>
      <c r="O19" s="25">
        <f t="shared" si="25"/>
        <v>0.0029431216931216932</v>
      </c>
      <c r="P19" s="26">
        <f t="shared" si="26"/>
        <v>2</v>
      </c>
      <c r="Q19" s="44"/>
      <c r="R19" s="71" t="s">
        <v>77</v>
      </c>
      <c r="S19" s="72">
        <v>0.012453703703703703</v>
      </c>
      <c r="T19" s="25">
        <f t="shared" si="27"/>
        <v>0.0027250992787097817</v>
      </c>
      <c r="U19" s="26">
        <f t="shared" si="28"/>
        <v>6</v>
      </c>
      <c r="V19" s="44"/>
      <c r="W19" s="71" t="s">
        <v>80</v>
      </c>
      <c r="X19" s="72">
        <v>0.007893518518518518</v>
      </c>
      <c r="Y19" s="25">
        <f t="shared" si="38"/>
        <v>0.002789229158487109</v>
      </c>
      <c r="Z19" s="26">
        <f t="shared" si="29"/>
        <v>2</v>
      </c>
      <c r="AA19" s="44"/>
      <c r="AB19" s="71" t="s">
        <v>64</v>
      </c>
      <c r="AC19" s="72">
        <v>0.011423611111111112</v>
      </c>
      <c r="AD19" s="25">
        <f t="shared" si="30"/>
        <v>0.002404970760233918</v>
      </c>
      <c r="AE19" s="26">
        <f t="shared" si="31"/>
        <v>5</v>
      </c>
      <c r="AF19" s="44"/>
      <c r="AG19" s="71" t="s">
        <v>77</v>
      </c>
      <c r="AH19" s="72">
        <v>0.011770833333333333</v>
      </c>
      <c r="AI19" s="25">
        <f t="shared" si="32"/>
        <v>0.0028025793650793647</v>
      </c>
      <c r="AJ19" s="26">
        <f t="shared" si="33"/>
        <v>5</v>
      </c>
      <c r="AK19" s="44"/>
      <c r="AL19" s="71" t="s">
        <v>72</v>
      </c>
      <c r="AM19" s="72">
        <v>0.013460648148148147</v>
      </c>
      <c r="AN19" s="25">
        <f t="shared" si="34"/>
        <v>0.002804301697530864</v>
      </c>
      <c r="AO19" s="26">
        <f t="shared" si="35"/>
        <v>3</v>
      </c>
      <c r="AP19" s="44"/>
      <c r="AQ19" s="71" t="s">
        <v>64</v>
      </c>
      <c r="AR19" s="72">
        <v>0.014699074074074074</v>
      </c>
      <c r="AS19" s="25">
        <f t="shared" si="36"/>
        <v>0.002624834656084656</v>
      </c>
      <c r="AT19" s="26">
        <f t="shared" si="37"/>
        <v>5</v>
      </c>
      <c r="AU19" s="44"/>
      <c r="AV19" s="50"/>
      <c r="AW19" s="51"/>
      <c r="AX19" s="52"/>
      <c r="AY19" s="53"/>
      <c r="AZ19" s="44"/>
      <c r="BB19" s="58"/>
      <c r="BC19" s="59"/>
      <c r="BG19" s="58"/>
      <c r="BH19" s="59"/>
      <c r="BL19" s="58"/>
      <c r="BM19" s="59"/>
      <c r="BQ19" s="58"/>
      <c r="BR19" s="59"/>
      <c r="BV19" s="58"/>
      <c r="BW19" s="59"/>
      <c r="CA19" s="58"/>
      <c r="CB19" s="59"/>
      <c r="CF19" s="58"/>
      <c r="CG19" s="59"/>
    </row>
    <row r="20" spans="1:85" ht="19.5" customHeight="1">
      <c r="A20" s="74" t="str">
        <f t="shared" si="20"/>
        <v>Mitho's Fab Four</v>
      </c>
      <c r="E20" s="65">
        <f t="shared" si="21"/>
        <v>0.09541666666666666</v>
      </c>
      <c r="F20" s="66">
        <f t="shared" si="22"/>
        <v>5</v>
      </c>
      <c r="H20" s="71" t="s">
        <v>59</v>
      </c>
      <c r="I20" s="72">
        <v>0.011122685185185185</v>
      </c>
      <c r="J20" s="25">
        <f t="shared" si="23"/>
        <v>0.002471707818930041</v>
      </c>
      <c r="K20" s="26">
        <f t="shared" si="24"/>
        <v>2</v>
      </c>
      <c r="L20" s="44"/>
      <c r="M20" s="71" t="s">
        <v>82</v>
      </c>
      <c r="N20" s="72">
        <v>0.010520833333333333</v>
      </c>
      <c r="O20" s="25">
        <f t="shared" si="25"/>
        <v>0.003005952380952381</v>
      </c>
      <c r="P20" s="26">
        <f t="shared" si="26"/>
        <v>3</v>
      </c>
      <c r="Q20" s="44"/>
      <c r="R20" s="71" t="s">
        <v>60</v>
      </c>
      <c r="S20" s="72">
        <v>0.012013888888888888</v>
      </c>
      <c r="T20" s="25">
        <f t="shared" si="27"/>
        <v>0.0026288597131047895</v>
      </c>
      <c r="U20" s="26">
        <f t="shared" si="28"/>
        <v>5</v>
      </c>
      <c r="V20" s="44"/>
      <c r="W20" s="71" t="s">
        <v>82</v>
      </c>
      <c r="X20" s="72">
        <v>0.00835648148148148</v>
      </c>
      <c r="Y20" s="25">
        <f t="shared" si="38"/>
        <v>0.002952820311477555</v>
      </c>
      <c r="Z20" s="26">
        <f t="shared" si="29"/>
        <v>4</v>
      </c>
      <c r="AA20" s="44"/>
      <c r="AB20" s="71" t="s">
        <v>47</v>
      </c>
      <c r="AC20" s="72">
        <v>0.011666666666666667</v>
      </c>
      <c r="AD20" s="25">
        <f t="shared" si="30"/>
        <v>0.002456140350877193</v>
      </c>
      <c r="AE20" s="26">
        <f t="shared" si="31"/>
        <v>6</v>
      </c>
      <c r="AF20" s="44"/>
      <c r="AG20" s="71" t="s">
        <v>60</v>
      </c>
      <c r="AH20" s="72">
        <v>0.011458333333333334</v>
      </c>
      <c r="AI20" s="25">
        <f t="shared" si="32"/>
        <v>0.0027281746031746035</v>
      </c>
      <c r="AJ20" s="26">
        <f t="shared" si="33"/>
        <v>3</v>
      </c>
      <c r="AK20" s="44"/>
      <c r="AL20" s="71" t="s">
        <v>59</v>
      </c>
      <c r="AM20" s="72">
        <v>0.014525462962962964</v>
      </c>
      <c r="AN20" s="25">
        <f t="shared" si="34"/>
        <v>0.003026138117283951</v>
      </c>
      <c r="AO20" s="26">
        <f t="shared" si="35"/>
        <v>7</v>
      </c>
      <c r="AP20" s="44"/>
      <c r="AQ20" s="71" t="s">
        <v>47</v>
      </c>
      <c r="AR20" s="72">
        <v>0.015752314814814813</v>
      </c>
      <c r="AS20" s="25">
        <f t="shared" si="36"/>
        <v>0.0028129133597883595</v>
      </c>
      <c r="AT20" s="26">
        <f t="shared" si="37"/>
        <v>7</v>
      </c>
      <c r="AU20" s="44"/>
      <c r="AV20" s="50"/>
      <c r="AW20" s="51"/>
      <c r="AX20" s="52"/>
      <c r="AY20" s="53"/>
      <c r="AZ20" s="44"/>
      <c r="BB20" s="58"/>
      <c r="BC20" s="59"/>
      <c r="BG20" s="58"/>
      <c r="BH20" s="59"/>
      <c r="BL20" s="58"/>
      <c r="BM20" s="59"/>
      <c r="BQ20" s="58"/>
      <c r="BR20" s="59"/>
      <c r="BV20" s="58"/>
      <c r="BW20" s="59"/>
      <c r="CA20" s="58"/>
      <c r="CB20" s="59"/>
      <c r="CF20" s="58"/>
      <c r="CG20" s="59"/>
    </row>
    <row r="22" ht="30" customHeight="1"/>
    <row r="23" ht="30" customHeight="1"/>
    <row r="24" ht="12.75">
      <c r="A24" s="54" t="s">
        <v>0</v>
      </c>
    </row>
    <row r="25" spans="1:9" ht="12.75">
      <c r="A25" s="54">
        <v>1</v>
      </c>
      <c r="B25" s="54" t="str">
        <f>'Team Selection'!D3</f>
        <v>Stephen Paine</v>
      </c>
      <c r="C25" s="54" t="str">
        <f>'Team Selection'!F3</f>
        <v>Norval Hope</v>
      </c>
      <c r="D25" s="54" t="str">
        <f>'Team Selection'!H3</f>
        <v>Thai Phan</v>
      </c>
      <c r="E25" s="54" t="str">
        <f>'Team Selection'!J3</f>
        <v>Mark P &amp; Max H</v>
      </c>
      <c r="F25" s="59"/>
      <c r="I25" s="59"/>
    </row>
    <row r="26" spans="1:9" ht="12.75">
      <c r="A26" s="54">
        <v>2</v>
      </c>
      <c r="B26" s="54" t="str">
        <f>'Team Selection'!D4</f>
        <v>Troy Williams</v>
      </c>
      <c r="C26" s="54" t="str">
        <f>'Team Selection'!F4</f>
        <v>Glenn Goodman</v>
      </c>
      <c r="D26" s="54" t="str">
        <f>'Team Selection'!H4</f>
        <v>Matt Clark</v>
      </c>
      <c r="E26" s="54" t="str">
        <f>'Team Selection'!J4</f>
        <v>Shirley Ching</v>
      </c>
      <c r="F26" s="59"/>
      <c r="I26" s="59"/>
    </row>
    <row r="27" spans="1:9" ht="12.75">
      <c r="A27" s="54">
        <v>3</v>
      </c>
      <c r="B27" s="54" t="str">
        <f>'Team Selection'!D5</f>
        <v>David Venour</v>
      </c>
      <c r="C27" s="54" t="str">
        <f>'Team Selection'!F5</f>
        <v>Steve Miller</v>
      </c>
      <c r="D27" s="54" t="str">
        <f>'Team Selection'!H5</f>
        <v>Rory Heddles</v>
      </c>
      <c r="E27" s="54" t="str">
        <f>'Team Selection'!J5</f>
        <v>Emma Tinning</v>
      </c>
      <c r="F27" s="59"/>
      <c r="I27" s="59"/>
    </row>
    <row r="28" spans="1:9" ht="12.75">
      <c r="A28" s="54">
        <v>4</v>
      </c>
      <c r="B28" s="54" t="str">
        <f>'Team Selection'!D6</f>
        <v>Andrew Coles</v>
      </c>
      <c r="C28" s="54" t="str">
        <f>'Team Selection'!F6</f>
        <v>Selim Ahmed</v>
      </c>
      <c r="D28" s="54" t="str">
        <f>'Team Selection'!H6</f>
        <v>Kirsten Jackson</v>
      </c>
      <c r="E28" s="54" t="str">
        <f>'Team Selection'!J6</f>
        <v>Michael Carney</v>
      </c>
      <c r="F28" s="59"/>
      <c r="I28" s="59"/>
    </row>
    <row r="29" spans="1:9" ht="12.75">
      <c r="A29" s="54">
        <v>5</v>
      </c>
      <c r="B29" s="54" t="str">
        <f>'Team Selection'!D7</f>
        <v>Shane Fielding</v>
      </c>
      <c r="C29" s="54" t="str">
        <f>'Team Selection'!F7</f>
        <v>Mark Deslandes</v>
      </c>
      <c r="D29" s="54" t="str">
        <f>'Team Selection'!H7</f>
        <v>Gary O'Dwyer</v>
      </c>
      <c r="E29" s="54" t="str">
        <f>'Team Selection'!J7</f>
        <v>Hugh Hunter</v>
      </c>
      <c r="F29" s="59"/>
      <c r="I29" s="59"/>
    </row>
    <row r="30" spans="1:9" ht="12.75">
      <c r="A30" s="54">
        <v>6</v>
      </c>
      <c r="B30" s="54" t="str">
        <f>'Team Selection'!D8</f>
        <v>Bruce Arthur</v>
      </c>
      <c r="C30" s="54" t="str">
        <f>'Team Selection'!F8</f>
        <v>Chris Wright</v>
      </c>
      <c r="D30" s="54" t="str">
        <f>'Team Selection'!H8</f>
        <v>Terry Wright</v>
      </c>
      <c r="E30" s="54" t="str">
        <f>'Team Selection'!J8</f>
        <v>John Hand</v>
      </c>
      <c r="F30" s="59"/>
      <c r="I30" s="59"/>
    </row>
    <row r="31" spans="1:9" ht="12.75">
      <c r="A31" s="54">
        <v>7</v>
      </c>
      <c r="B31" s="54" t="str">
        <f>'Team Selection'!D9</f>
        <v>Anthony Mithen</v>
      </c>
      <c r="C31" s="54" t="str">
        <f>'Team Selection'!F9</f>
        <v>Simon Duffy</v>
      </c>
      <c r="D31" s="54" t="str">
        <f>'Team Selection'!H9</f>
        <v>Dave Percival</v>
      </c>
      <c r="E31" s="54" t="str">
        <f>'Team Selection'!J9</f>
        <v>Yin Kuan Ho</v>
      </c>
      <c r="F31" s="59"/>
      <c r="I31" s="59"/>
    </row>
    <row r="32" spans="9:44" ht="12.75">
      <c r="I32" s="51"/>
      <c r="N32" s="51"/>
      <c r="S32" s="51"/>
      <c r="X32" s="51"/>
      <c r="AC32" s="51"/>
      <c r="AH32" s="51"/>
      <c r="AM32" s="51"/>
      <c r="AR32" s="51"/>
    </row>
    <row r="33" spans="9:44" ht="12.75">
      <c r="I33" s="51"/>
      <c r="N33" s="51"/>
      <c r="S33" s="51"/>
      <c r="X33" s="51"/>
      <c r="AC33" s="51"/>
      <c r="AH33" s="51"/>
      <c r="AM33" s="51"/>
      <c r="AR33" s="51"/>
    </row>
    <row r="34" spans="9:44" ht="12.75">
      <c r="I34" s="51"/>
      <c r="S34" s="51"/>
      <c r="X34" s="51"/>
      <c r="AC34" s="51"/>
      <c r="AH34" s="51"/>
      <c r="AM34" s="51"/>
      <c r="AR34" s="51"/>
    </row>
    <row r="35" spans="9:44" ht="12.75">
      <c r="I35" s="51"/>
      <c r="S35" s="51"/>
      <c r="X35" s="51"/>
      <c r="AC35" s="51"/>
      <c r="AH35" s="51"/>
      <c r="AM35" s="51"/>
      <c r="AR35" s="51"/>
    </row>
    <row r="36" spans="9:44" ht="12.75">
      <c r="I36" s="51"/>
      <c r="S36" s="51"/>
      <c r="X36" s="51"/>
      <c r="AC36" s="51"/>
      <c r="AH36" s="51"/>
      <c r="AM36" s="51"/>
      <c r="AR36" s="51"/>
    </row>
    <row r="44" ht="12.75">
      <c r="L44" s="76"/>
    </row>
    <row r="45" ht="12.75">
      <c r="L45" s="76"/>
    </row>
    <row r="46" ht="12.75">
      <c r="L46" s="44"/>
    </row>
    <row r="47" ht="12.75">
      <c r="L47" s="44"/>
    </row>
    <row r="48" ht="12.75">
      <c r="L48" s="44"/>
    </row>
    <row r="49" ht="12.75">
      <c r="L49" s="44"/>
    </row>
    <row r="50" spans="12:15" ht="12.75">
      <c r="L50" s="44"/>
      <c r="N50" s="58"/>
      <c r="O50" s="59"/>
    </row>
    <row r="51" ht="12.75">
      <c r="L51" s="44"/>
    </row>
    <row r="52" ht="12.75">
      <c r="L52" s="44"/>
    </row>
    <row r="53" spans="9:10" ht="12.75">
      <c r="I53" s="58"/>
      <c r="J53" s="59"/>
    </row>
    <row r="54" spans="8:86" ht="12.75">
      <c r="H54" s="62" t="s">
        <v>56</v>
      </c>
      <c r="J54" s="76"/>
      <c r="N54" s="117"/>
      <c r="O54" s="115"/>
      <c r="P54" s="116"/>
      <c r="CF54" s="57"/>
      <c r="CH54" s="57"/>
    </row>
    <row r="55" spans="8:86" ht="12.75">
      <c r="H55" s="153">
        <f aca="true" t="shared" si="39" ref="H55:H61">I4</f>
        <v>0.005775462962962962</v>
      </c>
      <c r="L55" s="44"/>
      <c r="N55" s="57"/>
      <c r="O55" s="59"/>
      <c r="P55" s="57"/>
      <c r="Q55" s="115"/>
      <c r="R55" s="60"/>
      <c r="S55" s="57"/>
      <c r="T55" s="59"/>
      <c r="U55" s="57"/>
      <c r="W55" s="60"/>
      <c r="X55" s="57"/>
      <c r="Y55" s="59"/>
      <c r="Z55" s="57"/>
      <c r="AB55" s="60"/>
      <c r="AC55" s="57"/>
      <c r="AD55" s="59"/>
      <c r="AE55" s="57"/>
      <c r="AH55" s="57"/>
      <c r="AI55" s="59"/>
      <c r="AJ55" s="57"/>
      <c r="AL55" s="60"/>
      <c r="AM55" s="57"/>
      <c r="AN55" s="59"/>
      <c r="AO55" s="57"/>
      <c r="AQ55" s="60"/>
      <c r="AR55" s="57"/>
      <c r="AS55" s="59"/>
      <c r="AT55" s="57"/>
      <c r="AV55" s="60"/>
      <c r="AW55" s="57"/>
      <c r="AX55" s="59"/>
      <c r="AY55" s="57"/>
      <c r="BA55" s="60"/>
      <c r="BB55" s="57"/>
      <c r="BC55" s="59"/>
      <c r="BD55" s="57"/>
      <c r="BF55" s="60"/>
      <c r="BG55" s="57"/>
      <c r="BH55" s="59"/>
      <c r="BI55" s="57"/>
      <c r="BK55" s="60"/>
      <c r="BL55" s="57"/>
      <c r="BM55" s="59"/>
      <c r="BN55" s="57"/>
      <c r="BP55" s="60"/>
      <c r="BQ55" s="57"/>
      <c r="BR55" s="59"/>
      <c r="BS55" s="57"/>
      <c r="BU55" s="60"/>
      <c r="BV55" s="57"/>
      <c r="BW55" s="59"/>
      <c r="BX55" s="57"/>
      <c r="BZ55" s="60"/>
      <c r="CA55" s="57"/>
      <c r="CB55" s="59"/>
      <c r="CC55" s="57"/>
      <c r="CE55" s="60"/>
      <c r="CF55" s="57"/>
      <c r="CG55" s="59"/>
      <c r="CH55" s="57"/>
    </row>
    <row r="56" spans="8:86" ht="12.75">
      <c r="H56" s="153">
        <f t="shared" si="39"/>
        <v>0.0075</v>
      </c>
      <c r="L56" s="44"/>
      <c r="N56" s="57"/>
      <c r="O56" s="59"/>
      <c r="P56" s="57"/>
      <c r="Q56" s="115"/>
      <c r="R56" s="60"/>
      <c r="S56" s="57"/>
      <c r="T56" s="59"/>
      <c r="U56" s="57"/>
      <c r="W56" s="60"/>
      <c r="X56" s="57"/>
      <c r="Y56" s="59"/>
      <c r="Z56" s="57"/>
      <c r="AB56" s="60"/>
      <c r="AC56" s="57"/>
      <c r="AD56" s="59"/>
      <c r="AE56" s="57"/>
      <c r="AH56" s="57"/>
      <c r="AI56" s="59"/>
      <c r="AJ56" s="57"/>
      <c r="AL56" s="60"/>
      <c r="AM56" s="57"/>
      <c r="AN56" s="59"/>
      <c r="AO56" s="57"/>
      <c r="AQ56" s="60"/>
      <c r="AR56" s="57"/>
      <c r="AS56" s="59"/>
      <c r="AT56" s="57"/>
      <c r="AV56" s="60"/>
      <c r="AW56" s="57"/>
      <c r="AX56" s="59"/>
      <c r="AY56" s="57"/>
      <c r="BA56" s="60"/>
      <c r="BB56" s="57"/>
      <c r="BC56" s="59"/>
      <c r="BD56" s="57"/>
      <c r="BF56" s="60"/>
      <c r="BG56" s="57"/>
      <c r="BH56" s="59"/>
      <c r="BI56" s="57"/>
      <c r="BK56" s="60"/>
      <c r="BL56" s="57"/>
      <c r="BM56" s="59"/>
      <c r="BN56" s="57"/>
      <c r="BP56" s="60"/>
      <c r="BQ56" s="57"/>
      <c r="BR56" s="59"/>
      <c r="BS56" s="57"/>
      <c r="BU56" s="60"/>
      <c r="BV56" s="57"/>
      <c r="BW56" s="59"/>
      <c r="BX56" s="57"/>
      <c r="BZ56" s="60"/>
      <c r="CA56" s="57"/>
      <c r="CB56" s="59"/>
      <c r="CC56" s="57"/>
      <c r="CE56" s="60"/>
      <c r="CF56" s="57"/>
      <c r="CG56" s="59"/>
      <c r="CH56" s="57"/>
    </row>
    <row r="57" spans="8:86" ht="12.75">
      <c r="H57" s="153">
        <f t="shared" si="39"/>
        <v>0.007361111111111111</v>
      </c>
      <c r="L57" s="44"/>
      <c r="N57" s="57"/>
      <c r="O57" s="59"/>
      <c r="P57" s="57"/>
      <c r="Q57" s="115"/>
      <c r="R57" s="60"/>
      <c r="S57" s="57"/>
      <c r="T57" s="59"/>
      <c r="U57" s="57"/>
      <c r="W57" s="60"/>
      <c r="X57" s="57"/>
      <c r="Y57" s="59"/>
      <c r="Z57" s="57"/>
      <c r="AB57" s="60"/>
      <c r="AC57" s="57"/>
      <c r="AD57" s="59"/>
      <c r="AE57" s="57"/>
      <c r="AH57" s="57"/>
      <c r="AI57" s="59"/>
      <c r="AJ57" s="57"/>
      <c r="AL57" s="60"/>
      <c r="AM57" s="57"/>
      <c r="AN57" s="59"/>
      <c r="AO57" s="57"/>
      <c r="AQ57" s="60"/>
      <c r="AR57" s="57"/>
      <c r="AS57" s="59"/>
      <c r="AT57" s="57"/>
      <c r="AV57" s="60"/>
      <c r="AW57" s="57"/>
      <c r="AX57" s="59"/>
      <c r="AY57" s="57"/>
      <c r="BA57" s="60"/>
      <c r="BB57" s="57"/>
      <c r="BC57" s="59"/>
      <c r="BD57" s="57"/>
      <c r="BF57" s="60"/>
      <c r="BG57" s="57"/>
      <c r="BH57" s="59"/>
      <c r="BI57" s="57"/>
      <c r="BK57" s="60"/>
      <c r="BL57" s="57"/>
      <c r="BM57" s="59"/>
      <c r="BN57" s="57"/>
      <c r="BP57" s="60"/>
      <c r="BQ57" s="57"/>
      <c r="BR57" s="59"/>
      <c r="BS57" s="57"/>
      <c r="BU57" s="60"/>
      <c r="BV57" s="57"/>
      <c r="BW57" s="59"/>
      <c r="BX57" s="57"/>
      <c r="BZ57" s="60"/>
      <c r="CA57" s="57"/>
      <c r="CB57" s="59"/>
      <c r="CC57" s="57"/>
      <c r="CE57" s="60"/>
      <c r="CF57" s="57"/>
      <c r="CG57" s="59"/>
      <c r="CH57" s="57"/>
    </row>
    <row r="58" spans="8:86" ht="12.75">
      <c r="H58" s="153">
        <f t="shared" si="39"/>
        <v>0.006087962962962964</v>
      </c>
      <c r="L58" s="44"/>
      <c r="N58" s="57"/>
      <c r="O58" s="59"/>
      <c r="P58" s="57"/>
      <c r="Q58" s="115"/>
      <c r="R58" s="60"/>
      <c r="S58" s="57"/>
      <c r="T58" s="59"/>
      <c r="U58" s="57"/>
      <c r="W58" s="60"/>
      <c r="X58" s="57"/>
      <c r="Y58" s="59"/>
      <c r="Z58" s="57"/>
      <c r="AB58" s="60"/>
      <c r="AC58" s="57"/>
      <c r="AD58" s="59"/>
      <c r="AE58" s="57"/>
      <c r="AH58" s="57"/>
      <c r="AI58" s="59"/>
      <c r="AJ58" s="57"/>
      <c r="AL58" s="60"/>
      <c r="AM58" s="57"/>
      <c r="AN58" s="59"/>
      <c r="AO58" s="57"/>
      <c r="AQ58" s="60"/>
      <c r="AR58" s="57"/>
      <c r="AS58" s="59"/>
      <c r="AT58" s="57"/>
      <c r="AV58" s="60"/>
      <c r="AW58" s="57"/>
      <c r="AX58" s="59"/>
      <c r="AY58" s="57"/>
      <c r="BA58" s="60"/>
      <c r="BB58" s="57"/>
      <c r="BC58" s="59"/>
      <c r="BD58" s="57"/>
      <c r="BF58" s="60"/>
      <c r="BG58" s="57"/>
      <c r="BH58" s="59"/>
      <c r="BI58" s="57"/>
      <c r="BK58" s="60"/>
      <c r="BL58" s="57"/>
      <c r="BM58" s="59"/>
      <c r="BN58" s="57"/>
      <c r="BP58" s="60"/>
      <c r="BQ58" s="57"/>
      <c r="BR58" s="59"/>
      <c r="BS58" s="57"/>
      <c r="BU58" s="60"/>
      <c r="BV58" s="57"/>
      <c r="BW58" s="59"/>
      <c r="BX58" s="57"/>
      <c r="BZ58" s="60"/>
      <c r="CA58" s="57"/>
      <c r="CB58" s="59"/>
      <c r="CC58" s="57"/>
      <c r="CE58" s="60"/>
      <c r="CF58" s="57"/>
      <c r="CG58" s="59"/>
      <c r="CH58" s="57"/>
    </row>
    <row r="59" spans="8:86" ht="12.75">
      <c r="H59" s="153">
        <f t="shared" si="39"/>
        <v>0.006203703703703704</v>
      </c>
      <c r="L59" s="44"/>
      <c r="N59" s="57"/>
      <c r="O59" s="59"/>
      <c r="P59" s="57"/>
      <c r="Q59" s="115"/>
      <c r="R59" s="60"/>
      <c r="S59" s="57"/>
      <c r="T59" s="59"/>
      <c r="U59" s="57"/>
      <c r="W59" s="60"/>
      <c r="X59" s="57"/>
      <c r="Y59" s="59"/>
      <c r="Z59" s="57"/>
      <c r="AB59" s="60"/>
      <c r="AC59" s="57"/>
      <c r="AD59" s="59"/>
      <c r="AE59" s="57"/>
      <c r="AH59" s="57"/>
      <c r="AI59" s="59"/>
      <c r="AJ59" s="57"/>
      <c r="AL59" s="60"/>
      <c r="AM59" s="57"/>
      <c r="AN59" s="59"/>
      <c r="AO59" s="57"/>
      <c r="AQ59" s="60"/>
      <c r="AR59" s="57"/>
      <c r="AS59" s="59"/>
      <c r="AT59" s="57"/>
      <c r="AV59" s="60"/>
      <c r="AW59" s="57"/>
      <c r="AX59" s="59"/>
      <c r="AY59" s="57"/>
      <c r="BA59" s="60"/>
      <c r="BB59" s="57"/>
      <c r="BC59" s="59"/>
      <c r="BD59" s="57"/>
      <c r="BF59" s="60"/>
      <c r="BG59" s="57"/>
      <c r="BH59" s="59"/>
      <c r="BI59" s="57"/>
      <c r="BK59" s="60"/>
      <c r="BL59" s="57"/>
      <c r="BM59" s="59"/>
      <c r="BN59" s="57"/>
      <c r="BP59" s="60"/>
      <c r="BQ59" s="57"/>
      <c r="BR59" s="59"/>
      <c r="BS59" s="57"/>
      <c r="BU59" s="60"/>
      <c r="BV59" s="57"/>
      <c r="BW59" s="59"/>
      <c r="BX59" s="57"/>
      <c r="BZ59" s="60"/>
      <c r="CA59" s="57"/>
      <c r="CB59" s="59"/>
      <c r="CC59" s="57"/>
      <c r="CE59" s="60"/>
      <c r="CF59" s="57"/>
      <c r="CG59" s="59"/>
      <c r="CH59" s="57"/>
    </row>
    <row r="60" spans="8:86" ht="12.75">
      <c r="H60" s="153">
        <f t="shared" si="39"/>
        <v>0.006296296296296296</v>
      </c>
      <c r="L60" s="44"/>
      <c r="N60" s="57"/>
      <c r="O60" s="59"/>
      <c r="P60" s="57"/>
      <c r="Q60" s="115"/>
      <c r="R60" s="60"/>
      <c r="S60" s="57"/>
      <c r="T60" s="59"/>
      <c r="U60" s="57"/>
      <c r="W60" s="60"/>
      <c r="X60" s="57"/>
      <c r="Y60" s="59"/>
      <c r="Z60" s="57"/>
      <c r="AB60" s="60"/>
      <c r="AC60" s="57"/>
      <c r="AD60" s="59"/>
      <c r="AE60" s="57"/>
      <c r="AH60" s="57"/>
      <c r="AI60" s="59"/>
      <c r="AJ60" s="57"/>
      <c r="AL60" s="60"/>
      <c r="AM60" s="57"/>
      <c r="AN60" s="59"/>
      <c r="AO60" s="57"/>
      <c r="AQ60" s="60"/>
      <c r="AR60" s="57"/>
      <c r="AS60" s="59"/>
      <c r="AT60" s="57"/>
      <c r="AV60" s="60"/>
      <c r="AW60" s="57"/>
      <c r="AX60" s="59"/>
      <c r="AY60" s="57"/>
      <c r="BA60" s="60"/>
      <c r="BB60" s="57"/>
      <c r="BC60" s="59"/>
      <c r="BD60" s="57"/>
      <c r="BF60" s="60"/>
      <c r="BG60" s="57"/>
      <c r="BH60" s="59"/>
      <c r="BI60" s="57"/>
      <c r="BK60" s="60"/>
      <c r="BL60" s="57"/>
      <c r="BM60" s="59"/>
      <c r="BN60" s="57"/>
      <c r="BP60" s="60"/>
      <c r="BQ60" s="57"/>
      <c r="BR60" s="59"/>
      <c r="BS60" s="57"/>
      <c r="BU60" s="60"/>
      <c r="BV60" s="57"/>
      <c r="BW60" s="59"/>
      <c r="BX60" s="57"/>
      <c r="BZ60" s="60"/>
      <c r="CA60" s="57"/>
      <c r="CB60" s="59"/>
      <c r="CC60" s="57"/>
      <c r="CE60" s="60"/>
      <c r="CF60" s="57"/>
      <c r="CG60" s="59"/>
      <c r="CH60" s="57"/>
    </row>
    <row r="61" spans="8:86" ht="12.75">
      <c r="H61" s="153">
        <f t="shared" si="39"/>
        <v>0.006076388888888889</v>
      </c>
      <c r="L61" s="44"/>
      <c r="N61" s="57"/>
      <c r="O61" s="59"/>
      <c r="P61" s="57"/>
      <c r="Q61" s="115"/>
      <c r="R61" s="60"/>
      <c r="S61" s="57"/>
      <c r="T61" s="59"/>
      <c r="U61" s="57"/>
      <c r="W61" s="60"/>
      <c r="X61" s="57"/>
      <c r="Y61" s="59"/>
      <c r="Z61" s="57"/>
      <c r="AB61" s="60"/>
      <c r="AC61" s="57"/>
      <c r="AD61" s="59"/>
      <c r="AE61" s="57"/>
      <c r="AH61" s="57"/>
      <c r="AI61" s="59"/>
      <c r="AJ61" s="57"/>
      <c r="AL61" s="60"/>
      <c r="AM61" s="57"/>
      <c r="AN61" s="59"/>
      <c r="AO61" s="57"/>
      <c r="AQ61" s="60"/>
      <c r="AR61" s="57"/>
      <c r="AS61" s="59"/>
      <c r="AT61" s="57"/>
      <c r="AV61" s="60"/>
      <c r="AW61" s="57"/>
      <c r="AX61" s="59"/>
      <c r="AY61" s="57"/>
      <c r="BA61" s="60"/>
      <c r="BB61" s="57"/>
      <c r="BC61" s="59"/>
      <c r="BD61" s="57"/>
      <c r="BF61" s="60"/>
      <c r="BG61" s="57"/>
      <c r="BH61" s="59"/>
      <c r="BI61" s="57"/>
      <c r="BK61" s="60"/>
      <c r="BL61" s="57"/>
      <c r="BM61" s="59"/>
      <c r="BN61" s="57"/>
      <c r="BP61" s="60"/>
      <c r="BQ61" s="57"/>
      <c r="BR61" s="59"/>
      <c r="BS61" s="57"/>
      <c r="BU61" s="60"/>
      <c r="BV61" s="57"/>
      <c r="BW61" s="59"/>
      <c r="BX61" s="57"/>
      <c r="BZ61" s="60"/>
      <c r="CA61" s="57"/>
      <c r="CB61" s="59"/>
      <c r="CC61" s="57"/>
      <c r="CE61" s="60"/>
      <c r="CF61" s="57"/>
      <c r="CG61" s="59"/>
      <c r="CH61" s="57"/>
    </row>
    <row r="62" spans="8:86" ht="12.75">
      <c r="H62" s="153">
        <f aca="true" t="shared" si="40" ref="H62:H68">N4</f>
        <v>0.005706018518518519</v>
      </c>
      <c r="L62" s="44"/>
      <c r="N62" s="57"/>
      <c r="O62" s="59"/>
      <c r="P62" s="57"/>
      <c r="Q62" s="115"/>
      <c r="R62" s="60"/>
      <c r="S62" s="57"/>
      <c r="T62" s="59"/>
      <c r="U62" s="57"/>
      <c r="W62" s="60"/>
      <c r="X62" s="57"/>
      <c r="Y62" s="59"/>
      <c r="Z62" s="57"/>
      <c r="AB62" s="60"/>
      <c r="AC62" s="57"/>
      <c r="AD62" s="59"/>
      <c r="AE62" s="57"/>
      <c r="AH62" s="57"/>
      <c r="AI62" s="59"/>
      <c r="AJ62" s="57"/>
      <c r="AL62" s="60"/>
      <c r="AM62" s="57"/>
      <c r="AN62" s="59"/>
      <c r="AO62" s="57"/>
      <c r="AQ62" s="60"/>
      <c r="AR62" s="57"/>
      <c r="AS62" s="59"/>
      <c r="AT62" s="57"/>
      <c r="AV62" s="60"/>
      <c r="AW62" s="57"/>
      <c r="AX62" s="59"/>
      <c r="AY62" s="57"/>
      <c r="BA62" s="60"/>
      <c r="BB62" s="57"/>
      <c r="BC62" s="59"/>
      <c r="BD62" s="57"/>
      <c r="BF62" s="60"/>
      <c r="BG62" s="57"/>
      <c r="BH62" s="59"/>
      <c r="BI62" s="57"/>
      <c r="BK62" s="60"/>
      <c r="BL62" s="57"/>
      <c r="BM62" s="59"/>
      <c r="BN62" s="57"/>
      <c r="BP62" s="60"/>
      <c r="BQ62" s="57"/>
      <c r="BR62" s="59"/>
      <c r="BS62" s="57"/>
      <c r="BU62" s="60"/>
      <c r="BV62" s="57"/>
      <c r="BW62" s="59"/>
      <c r="BX62" s="57"/>
      <c r="BZ62" s="60"/>
      <c r="CA62" s="57"/>
      <c r="CB62" s="59"/>
      <c r="CC62" s="57"/>
      <c r="CE62" s="60"/>
      <c r="CF62" s="57"/>
      <c r="CG62" s="59"/>
      <c r="CH62" s="57"/>
    </row>
    <row r="63" spans="8:86" ht="12.75">
      <c r="H63" s="153">
        <f t="shared" si="40"/>
        <v>0.005891203703703703</v>
      </c>
      <c r="L63" s="44"/>
      <c r="N63" s="57"/>
      <c r="O63" s="59"/>
      <c r="P63" s="57"/>
      <c r="Q63" s="115"/>
      <c r="R63" s="60"/>
      <c r="S63" s="57"/>
      <c r="T63" s="59"/>
      <c r="U63" s="57"/>
      <c r="W63" s="60"/>
      <c r="X63" s="57"/>
      <c r="Y63" s="59"/>
      <c r="Z63" s="57"/>
      <c r="AB63" s="60"/>
      <c r="AC63" s="57"/>
      <c r="AD63" s="59"/>
      <c r="AE63" s="57"/>
      <c r="AH63" s="57"/>
      <c r="AI63" s="59"/>
      <c r="AJ63" s="57"/>
      <c r="AL63" s="60"/>
      <c r="AM63" s="57"/>
      <c r="AN63" s="59"/>
      <c r="AO63" s="57"/>
      <c r="AQ63" s="60"/>
      <c r="AR63" s="57"/>
      <c r="AS63" s="59"/>
      <c r="AT63" s="57"/>
      <c r="AV63" s="60"/>
      <c r="AW63" s="57"/>
      <c r="AX63" s="59"/>
      <c r="AY63" s="57"/>
      <c r="BA63" s="60"/>
      <c r="BB63" s="57"/>
      <c r="BC63" s="59"/>
      <c r="BD63" s="57"/>
      <c r="BF63" s="60"/>
      <c r="BG63" s="57"/>
      <c r="BH63" s="59"/>
      <c r="BI63" s="57"/>
      <c r="BK63" s="60"/>
      <c r="BL63" s="57"/>
      <c r="BM63" s="59"/>
      <c r="BN63" s="57"/>
      <c r="BP63" s="60"/>
      <c r="BQ63" s="57"/>
      <c r="BR63" s="59"/>
      <c r="BS63" s="57"/>
      <c r="BU63" s="60"/>
      <c r="BV63" s="57"/>
      <c r="BW63" s="59"/>
      <c r="BX63" s="57"/>
      <c r="BZ63" s="60"/>
      <c r="CA63" s="57"/>
      <c r="CB63" s="59"/>
      <c r="CC63" s="57"/>
      <c r="CE63" s="60"/>
      <c r="CF63" s="57"/>
      <c r="CG63" s="59"/>
      <c r="CH63" s="57"/>
    </row>
    <row r="64" spans="8:86" ht="12.75">
      <c r="H64" s="153">
        <f t="shared" si="40"/>
        <v>0.005740740740740742</v>
      </c>
      <c r="L64" s="44"/>
      <c r="N64" s="57"/>
      <c r="O64" s="59"/>
      <c r="P64" s="57"/>
      <c r="Q64" s="115"/>
      <c r="R64" s="60"/>
      <c r="S64" s="57"/>
      <c r="T64" s="59"/>
      <c r="U64" s="57"/>
      <c r="W64" s="60"/>
      <c r="X64" s="57"/>
      <c r="Y64" s="59"/>
      <c r="Z64" s="57"/>
      <c r="AB64" s="60"/>
      <c r="AC64" s="57"/>
      <c r="AD64" s="59"/>
      <c r="AE64" s="57"/>
      <c r="AH64" s="57"/>
      <c r="AI64" s="59"/>
      <c r="AJ64" s="57"/>
      <c r="AL64" s="60"/>
      <c r="AM64" s="57"/>
      <c r="AN64" s="59"/>
      <c r="AO64" s="57"/>
      <c r="AQ64" s="60"/>
      <c r="AR64" s="57"/>
      <c r="AS64" s="59"/>
      <c r="AT64" s="57"/>
      <c r="AV64" s="60"/>
      <c r="AW64" s="57"/>
      <c r="AX64" s="59"/>
      <c r="AY64" s="57"/>
      <c r="BA64" s="60"/>
      <c r="BB64" s="57"/>
      <c r="BC64" s="59"/>
      <c r="BD64" s="57"/>
      <c r="BF64" s="60"/>
      <c r="BG64" s="57"/>
      <c r="BH64" s="59"/>
      <c r="BI64" s="57"/>
      <c r="BK64" s="60"/>
      <c r="BL64" s="57"/>
      <c r="BM64" s="59"/>
      <c r="BN64" s="57"/>
      <c r="BP64" s="60"/>
      <c r="BQ64" s="57"/>
      <c r="BR64" s="59"/>
      <c r="BS64" s="57"/>
      <c r="BU64" s="60"/>
      <c r="BV64" s="57"/>
      <c r="BW64" s="59"/>
      <c r="BX64" s="57"/>
      <c r="BZ64" s="60"/>
      <c r="CA64" s="57"/>
      <c r="CB64" s="59"/>
      <c r="CC64" s="57"/>
      <c r="CE64" s="60"/>
      <c r="CF64" s="57"/>
      <c r="CG64" s="59"/>
      <c r="CH64" s="57"/>
    </row>
    <row r="65" spans="8:86" ht="12.75">
      <c r="H65" s="153">
        <f t="shared" si="40"/>
        <v>0.005625</v>
      </c>
      <c r="L65" s="44"/>
      <c r="N65" s="57"/>
      <c r="O65" s="59"/>
      <c r="P65" s="57"/>
      <c r="Q65" s="115"/>
      <c r="R65" s="60"/>
      <c r="S65" s="57"/>
      <c r="T65" s="59"/>
      <c r="U65" s="57"/>
      <c r="W65" s="60"/>
      <c r="X65" s="57"/>
      <c r="Y65" s="59"/>
      <c r="Z65" s="57"/>
      <c r="AB65" s="60"/>
      <c r="AC65" s="57"/>
      <c r="AD65" s="59"/>
      <c r="AE65" s="57"/>
      <c r="AH65" s="57"/>
      <c r="AI65" s="59"/>
      <c r="AJ65" s="57"/>
      <c r="AL65" s="60"/>
      <c r="AM65" s="57"/>
      <c r="AN65" s="59"/>
      <c r="AO65" s="57"/>
      <c r="AQ65" s="60"/>
      <c r="AR65" s="57"/>
      <c r="AS65" s="59"/>
      <c r="AT65" s="57"/>
      <c r="AV65" s="60"/>
      <c r="AW65" s="57"/>
      <c r="AX65" s="59"/>
      <c r="AY65" s="57"/>
      <c r="BA65" s="60"/>
      <c r="BB65" s="57"/>
      <c r="BC65" s="59"/>
      <c r="BD65" s="57"/>
      <c r="BF65" s="60"/>
      <c r="BG65" s="57"/>
      <c r="BH65" s="59"/>
      <c r="BI65" s="57"/>
      <c r="BK65" s="60"/>
      <c r="BL65" s="57"/>
      <c r="BM65" s="59"/>
      <c r="BN65" s="57"/>
      <c r="BP65" s="60"/>
      <c r="BQ65" s="57"/>
      <c r="BR65" s="59"/>
      <c r="BS65" s="57"/>
      <c r="BU65" s="60"/>
      <c r="BV65" s="57"/>
      <c r="BW65" s="59"/>
      <c r="BX65" s="57"/>
      <c r="BZ65" s="60"/>
      <c r="CA65" s="57"/>
      <c r="CB65" s="59"/>
      <c r="CC65" s="57"/>
      <c r="CE65" s="60"/>
      <c r="CF65" s="57"/>
      <c r="CG65" s="59"/>
      <c r="CH65" s="57"/>
    </row>
    <row r="66" spans="8:86" ht="12.75">
      <c r="H66" s="153">
        <f t="shared" si="40"/>
        <v>0.005439814814814815</v>
      </c>
      <c r="L66" s="44"/>
      <c r="N66" s="57"/>
      <c r="O66" s="59"/>
      <c r="P66" s="57"/>
      <c r="Q66" s="115"/>
      <c r="R66" s="60"/>
      <c r="S66" s="57"/>
      <c r="T66" s="59"/>
      <c r="U66" s="57"/>
      <c r="W66" s="60"/>
      <c r="X66" s="57"/>
      <c r="Y66" s="59"/>
      <c r="Z66" s="57"/>
      <c r="AB66" s="60"/>
      <c r="AC66" s="57"/>
      <c r="AD66" s="59"/>
      <c r="AE66" s="57"/>
      <c r="AH66" s="57"/>
      <c r="AI66" s="59"/>
      <c r="AJ66" s="57"/>
      <c r="AL66" s="60"/>
      <c r="AM66" s="57"/>
      <c r="AN66" s="59"/>
      <c r="AO66" s="57"/>
      <c r="AQ66" s="60"/>
      <c r="AR66" s="57"/>
      <c r="AS66" s="59"/>
      <c r="AT66" s="57"/>
      <c r="AV66" s="60"/>
      <c r="AW66" s="57"/>
      <c r="AX66" s="59"/>
      <c r="AY66" s="57"/>
      <c r="BA66" s="60"/>
      <c r="BB66" s="57"/>
      <c r="BC66" s="59"/>
      <c r="BD66" s="57"/>
      <c r="BF66" s="60"/>
      <c r="BG66" s="57"/>
      <c r="BH66" s="59"/>
      <c r="BI66" s="57"/>
      <c r="BK66" s="60"/>
      <c r="BL66" s="57"/>
      <c r="BM66" s="59"/>
      <c r="BN66" s="57"/>
      <c r="BP66" s="60"/>
      <c r="BQ66" s="57"/>
      <c r="BR66" s="59"/>
      <c r="BS66" s="57"/>
      <c r="BU66" s="60"/>
      <c r="BV66" s="57"/>
      <c r="BW66" s="59"/>
      <c r="BX66" s="57"/>
      <c r="BZ66" s="60"/>
      <c r="CA66" s="57"/>
      <c r="CB66" s="59"/>
      <c r="CC66" s="57"/>
      <c r="CE66" s="60"/>
      <c r="CF66" s="57"/>
      <c r="CG66" s="59"/>
      <c r="CH66" s="57"/>
    </row>
    <row r="67" spans="8:86" ht="12.75">
      <c r="H67" s="153">
        <f t="shared" si="40"/>
        <v>0.005555555555555556</v>
      </c>
      <c r="L67" s="44"/>
      <c r="N67" s="57"/>
      <c r="O67" s="59"/>
      <c r="P67" s="57"/>
      <c r="Q67" s="115"/>
      <c r="R67" s="60"/>
      <c r="S67" s="57"/>
      <c r="T67" s="59"/>
      <c r="U67" s="57"/>
      <c r="W67" s="60"/>
      <c r="X67" s="57"/>
      <c r="Y67" s="59"/>
      <c r="Z67" s="57"/>
      <c r="AB67" s="60"/>
      <c r="AC67" s="57"/>
      <c r="AD67" s="59"/>
      <c r="AE67" s="57"/>
      <c r="AH67" s="57"/>
      <c r="AI67" s="59"/>
      <c r="AJ67" s="57"/>
      <c r="AL67" s="60"/>
      <c r="AM67" s="57"/>
      <c r="AN67" s="59"/>
      <c r="AO67" s="57"/>
      <c r="AQ67" s="60"/>
      <c r="AR67" s="57"/>
      <c r="AS67" s="59"/>
      <c r="AT67" s="57"/>
      <c r="AV67" s="60"/>
      <c r="AW67" s="57"/>
      <c r="AX67" s="59"/>
      <c r="AY67" s="57"/>
      <c r="BA67" s="60"/>
      <c r="BB67" s="57"/>
      <c r="BC67" s="59"/>
      <c r="BD67" s="57"/>
      <c r="BF67" s="60"/>
      <c r="BG67" s="57"/>
      <c r="BH67" s="59"/>
      <c r="BI67" s="57"/>
      <c r="BK67" s="60"/>
      <c r="BL67" s="57"/>
      <c r="BM67" s="59"/>
      <c r="BN67" s="57"/>
      <c r="BP67" s="60"/>
      <c r="BQ67" s="57"/>
      <c r="BR67" s="59"/>
      <c r="BS67" s="57"/>
      <c r="BU67" s="60"/>
      <c r="BV67" s="57"/>
      <c r="BW67" s="59"/>
      <c r="BX67" s="57"/>
      <c r="BZ67" s="60"/>
      <c r="CA67" s="57"/>
      <c r="CB67" s="59"/>
      <c r="CC67" s="57"/>
      <c r="CE67" s="60"/>
      <c r="CF67" s="57"/>
      <c r="CG67" s="59"/>
      <c r="CH67" s="57"/>
    </row>
    <row r="68" spans="8:86" ht="12.75">
      <c r="H68" s="153">
        <f t="shared" si="40"/>
        <v>0.005451388888888888</v>
      </c>
      <c r="L68" s="44"/>
      <c r="N68" s="57"/>
      <c r="O68" s="59"/>
      <c r="P68" s="57"/>
      <c r="Q68" s="115"/>
      <c r="R68" s="60"/>
      <c r="S68" s="57"/>
      <c r="T68" s="59"/>
      <c r="U68" s="57"/>
      <c r="W68" s="60"/>
      <c r="X68" s="57"/>
      <c r="Y68" s="59"/>
      <c r="Z68" s="57"/>
      <c r="AB68" s="60"/>
      <c r="AC68" s="57"/>
      <c r="AD68" s="59"/>
      <c r="AE68" s="57"/>
      <c r="AH68" s="57"/>
      <c r="AI68" s="59"/>
      <c r="AJ68" s="57"/>
      <c r="AL68" s="60"/>
      <c r="AM68" s="57"/>
      <c r="AN68" s="59"/>
      <c r="AO68" s="57"/>
      <c r="AQ68" s="60"/>
      <c r="AR68" s="57"/>
      <c r="AS68" s="59"/>
      <c r="AT68" s="57"/>
      <c r="AV68" s="60"/>
      <c r="AW68" s="57"/>
      <c r="AX68" s="59"/>
      <c r="AY68" s="57"/>
      <c r="BA68" s="60"/>
      <c r="BB68" s="57"/>
      <c r="BC68" s="59"/>
      <c r="BD68" s="57"/>
      <c r="BF68" s="60"/>
      <c r="BG68" s="57"/>
      <c r="BH68" s="59"/>
      <c r="BI68" s="57"/>
      <c r="BK68" s="60"/>
      <c r="BL68" s="57"/>
      <c r="BM68" s="59"/>
      <c r="BN68" s="57"/>
      <c r="BP68" s="60"/>
      <c r="BQ68" s="57"/>
      <c r="BR68" s="59"/>
      <c r="BS68" s="57"/>
      <c r="BU68" s="60"/>
      <c r="BV68" s="57"/>
      <c r="BW68" s="59"/>
      <c r="BX68" s="57"/>
      <c r="BZ68" s="60"/>
      <c r="CA68" s="57"/>
      <c r="CB68" s="59"/>
      <c r="CC68" s="57"/>
      <c r="CE68" s="60"/>
      <c r="CF68" s="57"/>
      <c r="CG68" s="59"/>
      <c r="CH68" s="57"/>
    </row>
    <row r="69" spans="8:86" ht="12.75">
      <c r="H69" s="153">
        <f aca="true" t="shared" si="41" ref="H69:H75">S4</f>
        <v>0.007129629629629631</v>
      </c>
      <c r="L69" s="44"/>
      <c r="N69" s="57"/>
      <c r="O69" s="59"/>
      <c r="P69" s="57"/>
      <c r="Q69" s="115"/>
      <c r="R69" s="60"/>
      <c r="S69" s="57"/>
      <c r="T69" s="59"/>
      <c r="U69" s="57"/>
      <c r="W69" s="60"/>
      <c r="X69" s="57"/>
      <c r="Y69" s="59"/>
      <c r="Z69" s="57"/>
      <c r="AB69" s="60"/>
      <c r="AC69" s="57"/>
      <c r="AD69" s="59"/>
      <c r="AE69" s="57"/>
      <c r="AH69" s="57"/>
      <c r="AI69" s="59"/>
      <c r="AJ69" s="57"/>
      <c r="AL69" s="60"/>
      <c r="AM69" s="57"/>
      <c r="AN69" s="59"/>
      <c r="AO69" s="57"/>
      <c r="AQ69" s="60"/>
      <c r="AR69" s="57"/>
      <c r="AS69" s="59"/>
      <c r="AT69" s="57"/>
      <c r="AV69" s="60"/>
      <c r="AW69" s="57"/>
      <c r="AX69" s="59"/>
      <c r="AY69" s="57"/>
      <c r="BA69" s="60"/>
      <c r="BB69" s="57"/>
      <c r="BC69" s="59"/>
      <c r="BD69" s="57"/>
      <c r="BF69" s="60"/>
      <c r="BG69" s="57"/>
      <c r="BH69" s="59"/>
      <c r="BI69" s="57"/>
      <c r="BK69" s="60"/>
      <c r="BL69" s="57"/>
      <c r="BM69" s="59"/>
      <c r="BN69" s="57"/>
      <c r="BP69" s="60"/>
      <c r="BQ69" s="57"/>
      <c r="BR69" s="59"/>
      <c r="BS69" s="57"/>
      <c r="BU69" s="60"/>
      <c r="BV69" s="57"/>
      <c r="BW69" s="59"/>
      <c r="BX69" s="57"/>
      <c r="BZ69" s="60"/>
      <c r="CA69" s="57"/>
      <c r="CB69" s="59"/>
      <c r="CC69" s="57"/>
      <c r="CE69" s="60"/>
      <c r="CF69" s="57"/>
      <c r="CG69" s="59"/>
      <c r="CH69" s="57"/>
    </row>
    <row r="70" spans="8:86" ht="12.75">
      <c r="H70" s="153">
        <f t="shared" si="41"/>
        <v>0.0060648148148148145</v>
      </c>
      <c r="L70" s="44"/>
      <c r="N70" s="57"/>
      <c r="O70" s="59"/>
      <c r="P70" s="57"/>
      <c r="Q70" s="115"/>
      <c r="R70" s="60"/>
      <c r="S70" s="57"/>
      <c r="T70" s="59"/>
      <c r="U70" s="57"/>
      <c r="W70" s="60"/>
      <c r="X70" s="57"/>
      <c r="Y70" s="59"/>
      <c r="Z70" s="57"/>
      <c r="AB70" s="60"/>
      <c r="AC70" s="57"/>
      <c r="AD70" s="59"/>
      <c r="AE70" s="57"/>
      <c r="AH70" s="57"/>
      <c r="AI70" s="59"/>
      <c r="AJ70" s="57"/>
      <c r="AL70" s="60"/>
      <c r="AM70" s="57"/>
      <c r="AN70" s="59"/>
      <c r="AO70" s="57"/>
      <c r="AQ70" s="60"/>
      <c r="AR70" s="57"/>
      <c r="AS70" s="59"/>
      <c r="AT70" s="57"/>
      <c r="AV70" s="60"/>
      <c r="AW70" s="57"/>
      <c r="AX70" s="59"/>
      <c r="AY70" s="57"/>
      <c r="BA70" s="60"/>
      <c r="BB70" s="57"/>
      <c r="BC70" s="59"/>
      <c r="BD70" s="57"/>
      <c r="BF70" s="60"/>
      <c r="BG70" s="57"/>
      <c r="BH70" s="59"/>
      <c r="BI70" s="57"/>
      <c r="BK70" s="60"/>
      <c r="BL70" s="57"/>
      <c r="BM70" s="59"/>
      <c r="BN70" s="57"/>
      <c r="BP70" s="60"/>
      <c r="BQ70" s="57"/>
      <c r="BR70" s="59"/>
      <c r="BS70" s="57"/>
      <c r="BU70" s="60"/>
      <c r="BV70" s="57"/>
      <c r="BW70" s="59"/>
      <c r="BX70" s="57"/>
      <c r="BZ70" s="60"/>
      <c r="CA70" s="57"/>
      <c r="CB70" s="59"/>
      <c r="CC70" s="57"/>
      <c r="CE70" s="60"/>
      <c r="CF70" s="57"/>
      <c r="CG70" s="59"/>
      <c r="CH70" s="57"/>
    </row>
    <row r="71" spans="8:86" ht="12.75">
      <c r="H71" s="153">
        <f t="shared" si="41"/>
        <v>0.005740740740740742</v>
      </c>
      <c r="L71" s="44"/>
      <c r="N71" s="57"/>
      <c r="O71" s="59"/>
      <c r="P71" s="57"/>
      <c r="Q71" s="115"/>
      <c r="R71" s="60"/>
      <c r="S71" s="57"/>
      <c r="T71" s="59"/>
      <c r="U71" s="57"/>
      <c r="W71" s="60"/>
      <c r="X71" s="57"/>
      <c r="Y71" s="59"/>
      <c r="Z71" s="57"/>
      <c r="AB71" s="60"/>
      <c r="AC71" s="57"/>
      <c r="AD71" s="59"/>
      <c r="AE71" s="57"/>
      <c r="AH71" s="57"/>
      <c r="AI71" s="59"/>
      <c r="AJ71" s="57"/>
      <c r="AL71" s="60"/>
      <c r="AM71" s="57"/>
      <c r="AN71" s="59"/>
      <c r="AO71" s="57"/>
      <c r="AQ71" s="60"/>
      <c r="AR71" s="57"/>
      <c r="AS71" s="59"/>
      <c r="AT71" s="57"/>
      <c r="AV71" s="60"/>
      <c r="AW71" s="57"/>
      <c r="AX71" s="59"/>
      <c r="AY71" s="57"/>
      <c r="BA71" s="60"/>
      <c r="BB71" s="57"/>
      <c r="BC71" s="59"/>
      <c r="BD71" s="57"/>
      <c r="BF71" s="60"/>
      <c r="BG71" s="57"/>
      <c r="BH71" s="59"/>
      <c r="BI71" s="57"/>
      <c r="BK71" s="60"/>
      <c r="BL71" s="57"/>
      <c r="BM71" s="59"/>
      <c r="BN71" s="57"/>
      <c r="BP71" s="60"/>
      <c r="BQ71" s="57"/>
      <c r="BR71" s="59"/>
      <c r="BS71" s="57"/>
      <c r="BU71" s="60"/>
      <c r="BV71" s="57"/>
      <c r="BW71" s="59"/>
      <c r="BX71" s="57"/>
      <c r="BZ71" s="60"/>
      <c r="CA71" s="57"/>
      <c r="CB71" s="59"/>
      <c r="CC71" s="57"/>
      <c r="CE71" s="60"/>
      <c r="CF71" s="57"/>
      <c r="CG71" s="59"/>
      <c r="CH71" s="57"/>
    </row>
    <row r="72" spans="8:86" ht="12.75">
      <c r="H72" s="153">
        <f t="shared" si="41"/>
        <v>0.006608796296296297</v>
      </c>
      <c r="L72" s="44"/>
      <c r="N72" s="57"/>
      <c r="O72" s="59"/>
      <c r="P72" s="57"/>
      <c r="Q72" s="115"/>
      <c r="R72" s="60"/>
      <c r="S72" s="57"/>
      <c r="T72" s="59"/>
      <c r="U72" s="57"/>
      <c r="W72" s="60"/>
      <c r="X72" s="57"/>
      <c r="Y72" s="59"/>
      <c r="Z72" s="57"/>
      <c r="AB72" s="60"/>
      <c r="AC72" s="57"/>
      <c r="AD72" s="59"/>
      <c r="AE72" s="57"/>
      <c r="AH72" s="57"/>
      <c r="AI72" s="59"/>
      <c r="AJ72" s="57"/>
      <c r="AL72" s="60"/>
      <c r="AM72" s="57"/>
      <c r="AN72" s="59"/>
      <c r="AO72" s="57"/>
      <c r="AQ72" s="60"/>
      <c r="AR72" s="57"/>
      <c r="AS72" s="59"/>
      <c r="AT72" s="57"/>
      <c r="AV72" s="60"/>
      <c r="AW72" s="57"/>
      <c r="AX72" s="59"/>
      <c r="AY72" s="57"/>
      <c r="BA72" s="60"/>
      <c r="BB72" s="57"/>
      <c r="BC72" s="59"/>
      <c r="BD72" s="57"/>
      <c r="BF72" s="60"/>
      <c r="BG72" s="57"/>
      <c r="BH72" s="59"/>
      <c r="BI72" s="57"/>
      <c r="BK72" s="60"/>
      <c r="BL72" s="57"/>
      <c r="BM72" s="59"/>
      <c r="BN72" s="57"/>
      <c r="BP72" s="60"/>
      <c r="BQ72" s="57"/>
      <c r="BR72" s="59"/>
      <c r="BS72" s="57"/>
      <c r="BU72" s="60"/>
      <c r="BV72" s="57"/>
      <c r="BW72" s="59"/>
      <c r="BX72" s="57"/>
      <c r="BZ72" s="60"/>
      <c r="CA72" s="57"/>
      <c r="CB72" s="59"/>
      <c r="CC72" s="57"/>
      <c r="CE72" s="60"/>
      <c r="CF72" s="57"/>
      <c r="CG72" s="59"/>
      <c r="CH72" s="57"/>
    </row>
    <row r="73" spans="8:86" ht="12.75">
      <c r="H73" s="153">
        <f t="shared" si="41"/>
        <v>0.006516203703703704</v>
      </c>
      <c r="L73" s="44"/>
      <c r="N73" s="57"/>
      <c r="O73" s="59"/>
      <c r="P73" s="57"/>
      <c r="Q73" s="115"/>
      <c r="R73" s="60"/>
      <c r="S73" s="57"/>
      <c r="T73" s="59"/>
      <c r="U73" s="57"/>
      <c r="W73" s="60"/>
      <c r="X73" s="57"/>
      <c r="Y73" s="59"/>
      <c r="Z73" s="57"/>
      <c r="AB73" s="60"/>
      <c r="AC73" s="57"/>
      <c r="AD73" s="59"/>
      <c r="AE73" s="57"/>
      <c r="AH73" s="57"/>
      <c r="AI73" s="59"/>
      <c r="AJ73" s="57"/>
      <c r="AL73" s="60"/>
      <c r="AM73" s="57"/>
      <c r="AN73" s="59"/>
      <c r="AO73" s="57"/>
      <c r="AQ73" s="60"/>
      <c r="AR73" s="57"/>
      <c r="AS73" s="59"/>
      <c r="AT73" s="57"/>
      <c r="AV73" s="60"/>
      <c r="AW73" s="57"/>
      <c r="AX73" s="59"/>
      <c r="AY73" s="57"/>
      <c r="BA73" s="60"/>
      <c r="BB73" s="57"/>
      <c r="BC73" s="59"/>
      <c r="BD73" s="57"/>
      <c r="BF73" s="60"/>
      <c r="BG73" s="57"/>
      <c r="BH73" s="59"/>
      <c r="BI73" s="57"/>
      <c r="BK73" s="60"/>
      <c r="BL73" s="57"/>
      <c r="BM73" s="59"/>
      <c r="BN73" s="57"/>
      <c r="BP73" s="60"/>
      <c r="BQ73" s="57"/>
      <c r="BR73" s="59"/>
      <c r="BS73" s="57"/>
      <c r="BU73" s="60"/>
      <c r="BV73" s="57"/>
      <c r="BW73" s="59"/>
      <c r="BX73" s="57"/>
      <c r="BZ73" s="60"/>
      <c r="CA73" s="57"/>
      <c r="CB73" s="59"/>
      <c r="CC73" s="57"/>
      <c r="CE73" s="60"/>
      <c r="CF73" s="57"/>
      <c r="CG73" s="59"/>
      <c r="CH73" s="57"/>
    </row>
    <row r="74" spans="8:86" ht="12.75">
      <c r="H74" s="153">
        <f t="shared" si="41"/>
        <v>0.00619212962962963</v>
      </c>
      <c r="L74" s="44"/>
      <c r="N74" s="57"/>
      <c r="O74" s="59"/>
      <c r="P74" s="57"/>
      <c r="Q74" s="115"/>
      <c r="R74" s="60"/>
      <c r="S74" s="57"/>
      <c r="T74" s="59"/>
      <c r="U74" s="57"/>
      <c r="W74" s="60"/>
      <c r="X74" s="57"/>
      <c r="Y74" s="59"/>
      <c r="Z74" s="57"/>
      <c r="AB74" s="60"/>
      <c r="AC74" s="57"/>
      <c r="AD74" s="59"/>
      <c r="AE74" s="57"/>
      <c r="AH74" s="57"/>
      <c r="AI74" s="59"/>
      <c r="AJ74" s="57"/>
      <c r="AL74" s="60"/>
      <c r="AM74" s="57"/>
      <c r="AN74" s="59"/>
      <c r="AO74" s="57"/>
      <c r="AQ74" s="60"/>
      <c r="AR74" s="57"/>
      <c r="AS74" s="59"/>
      <c r="AT74" s="57"/>
      <c r="AV74" s="60"/>
      <c r="AW74" s="57"/>
      <c r="AX74" s="59"/>
      <c r="AY74" s="57"/>
      <c r="BA74" s="60"/>
      <c r="BB74" s="57"/>
      <c r="BC74" s="59"/>
      <c r="BD74" s="57"/>
      <c r="BF74" s="60"/>
      <c r="BG74" s="57"/>
      <c r="BH74" s="59"/>
      <c r="BI74" s="57"/>
      <c r="BK74" s="60"/>
      <c r="BL74" s="57"/>
      <c r="BM74" s="59"/>
      <c r="BN74" s="57"/>
      <c r="BP74" s="60"/>
      <c r="BQ74" s="57"/>
      <c r="BR74" s="59"/>
      <c r="BS74" s="57"/>
      <c r="BU74" s="60"/>
      <c r="BV74" s="57"/>
      <c r="BW74" s="59"/>
      <c r="BX74" s="57"/>
      <c r="BZ74" s="60"/>
      <c r="CA74" s="57"/>
      <c r="CB74" s="59"/>
      <c r="CC74" s="57"/>
      <c r="CE74" s="60"/>
      <c r="CF74" s="57"/>
      <c r="CG74" s="59"/>
      <c r="CH74" s="57"/>
    </row>
    <row r="75" spans="8:86" ht="12.75">
      <c r="H75" s="153">
        <f t="shared" si="41"/>
        <v>0.006701388888888889</v>
      </c>
      <c r="L75" s="44"/>
      <c r="N75" s="57"/>
      <c r="O75" s="59"/>
      <c r="P75" s="57"/>
      <c r="Q75" s="115"/>
      <c r="R75" s="60"/>
      <c r="S75" s="57"/>
      <c r="T75" s="59"/>
      <c r="U75" s="57"/>
      <c r="W75" s="60"/>
      <c r="X75" s="57"/>
      <c r="Y75" s="59"/>
      <c r="Z75" s="57"/>
      <c r="AB75" s="60"/>
      <c r="AC75" s="57"/>
      <c r="AD75" s="59"/>
      <c r="AE75" s="57"/>
      <c r="AH75" s="57"/>
      <c r="AI75" s="59"/>
      <c r="AJ75" s="57"/>
      <c r="AL75" s="60"/>
      <c r="AM75" s="57"/>
      <c r="AN75" s="59"/>
      <c r="AO75" s="57"/>
      <c r="AQ75" s="60"/>
      <c r="AR75" s="57"/>
      <c r="AS75" s="59"/>
      <c r="AT75" s="57"/>
      <c r="AV75" s="60"/>
      <c r="AW75" s="57"/>
      <c r="AX75" s="59"/>
      <c r="AY75" s="57"/>
      <c r="BA75" s="60"/>
      <c r="BB75" s="57"/>
      <c r="BC75" s="59"/>
      <c r="BD75" s="57"/>
      <c r="BF75" s="60"/>
      <c r="BG75" s="57"/>
      <c r="BH75" s="59"/>
      <c r="BI75" s="57"/>
      <c r="BK75" s="60"/>
      <c r="BL75" s="57"/>
      <c r="BM75" s="59"/>
      <c r="BN75" s="57"/>
      <c r="BP75" s="60"/>
      <c r="BQ75" s="57"/>
      <c r="BR75" s="59"/>
      <c r="BS75" s="57"/>
      <c r="BU75" s="60"/>
      <c r="BV75" s="57"/>
      <c r="BW75" s="59"/>
      <c r="BX75" s="57"/>
      <c r="BZ75" s="60"/>
      <c r="CA75" s="57"/>
      <c r="CB75" s="59"/>
      <c r="CC75" s="57"/>
      <c r="CE75" s="60"/>
      <c r="CF75" s="57"/>
      <c r="CG75" s="59"/>
      <c r="CH75" s="57"/>
    </row>
    <row r="76" spans="8:86" ht="12.75">
      <c r="H76" s="153">
        <f aca="true" t="shared" si="42" ref="H76:H82">X4</f>
        <v>0.004814814814814815</v>
      </c>
      <c r="L76" s="44"/>
      <c r="N76" s="57"/>
      <c r="O76" s="59"/>
      <c r="P76" s="57"/>
      <c r="Q76" s="115"/>
      <c r="R76" s="60"/>
      <c r="S76" s="57"/>
      <c r="T76" s="59"/>
      <c r="U76" s="57"/>
      <c r="W76" s="60"/>
      <c r="X76" s="57"/>
      <c r="Y76" s="59"/>
      <c r="Z76" s="57"/>
      <c r="AB76" s="60"/>
      <c r="AC76" s="57"/>
      <c r="AD76" s="59"/>
      <c r="AE76" s="57"/>
      <c r="AH76" s="57"/>
      <c r="AI76" s="59"/>
      <c r="AJ76" s="57"/>
      <c r="AL76" s="60"/>
      <c r="AM76" s="57"/>
      <c r="AN76" s="59"/>
      <c r="AO76" s="57"/>
      <c r="AQ76" s="60"/>
      <c r="AR76" s="57"/>
      <c r="AS76" s="59"/>
      <c r="AT76" s="57"/>
      <c r="AV76" s="60"/>
      <c r="AW76" s="57"/>
      <c r="AX76" s="59"/>
      <c r="AY76" s="57"/>
      <c r="BA76" s="60"/>
      <c r="BB76" s="57"/>
      <c r="BC76" s="59"/>
      <c r="BD76" s="57"/>
      <c r="BF76" s="60"/>
      <c r="BG76" s="57"/>
      <c r="BH76" s="59"/>
      <c r="BI76" s="57"/>
      <c r="BK76" s="60"/>
      <c r="BL76" s="57"/>
      <c r="BM76" s="59"/>
      <c r="BN76" s="57"/>
      <c r="BP76" s="60"/>
      <c r="BQ76" s="57"/>
      <c r="BR76" s="59"/>
      <c r="BS76" s="57"/>
      <c r="BU76" s="60"/>
      <c r="BV76" s="57"/>
      <c r="BW76" s="59"/>
      <c r="BX76" s="57"/>
      <c r="BZ76" s="60"/>
      <c r="CA76" s="57"/>
      <c r="CB76" s="59"/>
      <c r="CC76" s="57"/>
      <c r="CE76" s="60"/>
      <c r="CF76" s="57"/>
      <c r="CG76" s="59"/>
      <c r="CH76" s="57"/>
    </row>
    <row r="77" spans="8:86" ht="12.75">
      <c r="H77" s="153">
        <f t="shared" si="42"/>
        <v>0.005219907407407407</v>
      </c>
      <c r="L77" s="44"/>
      <c r="N77" s="57"/>
      <c r="O77" s="59"/>
      <c r="P77" s="57"/>
      <c r="Q77" s="115"/>
      <c r="R77" s="60"/>
      <c r="S77" s="57"/>
      <c r="T77" s="59"/>
      <c r="U77" s="57"/>
      <c r="W77" s="60"/>
      <c r="X77" s="57"/>
      <c r="Y77" s="59"/>
      <c r="Z77" s="57"/>
      <c r="AB77" s="60"/>
      <c r="AC77" s="57"/>
      <c r="AD77" s="59"/>
      <c r="AE77" s="57"/>
      <c r="AH77" s="57"/>
      <c r="AI77" s="59"/>
      <c r="AJ77" s="57"/>
      <c r="AL77" s="60"/>
      <c r="AM77" s="57"/>
      <c r="AN77" s="59"/>
      <c r="AO77" s="57"/>
      <c r="AQ77" s="60"/>
      <c r="AR77" s="57"/>
      <c r="AS77" s="59"/>
      <c r="AT77" s="57"/>
      <c r="AV77" s="60"/>
      <c r="AW77" s="57"/>
      <c r="AX77" s="59"/>
      <c r="AY77" s="57"/>
      <c r="BA77" s="60"/>
      <c r="BB77" s="57"/>
      <c r="BC77" s="59"/>
      <c r="BD77" s="57"/>
      <c r="BF77" s="60"/>
      <c r="BG77" s="57"/>
      <c r="BH77" s="59"/>
      <c r="BI77" s="57"/>
      <c r="BK77" s="60"/>
      <c r="BL77" s="57"/>
      <c r="BM77" s="59"/>
      <c r="BN77" s="57"/>
      <c r="BP77" s="60"/>
      <c r="BQ77" s="57"/>
      <c r="BR77" s="59"/>
      <c r="BS77" s="57"/>
      <c r="BU77" s="60"/>
      <c r="BV77" s="57"/>
      <c r="BW77" s="59"/>
      <c r="BX77" s="57"/>
      <c r="BZ77" s="60"/>
      <c r="CA77" s="57"/>
      <c r="CB77" s="59"/>
      <c r="CC77" s="57"/>
      <c r="CE77" s="60"/>
      <c r="CF77" s="57"/>
      <c r="CG77" s="59"/>
      <c r="CH77" s="57"/>
    </row>
    <row r="78" spans="8:86" ht="12.75">
      <c r="H78" s="153">
        <f t="shared" si="42"/>
        <v>0.005208333333333333</v>
      </c>
      <c r="L78" s="44"/>
      <c r="N78" s="57"/>
      <c r="O78" s="59"/>
      <c r="P78" s="57"/>
      <c r="Q78" s="115"/>
      <c r="R78" s="60"/>
      <c r="S78" s="57"/>
      <c r="T78" s="59"/>
      <c r="U78" s="57"/>
      <c r="W78" s="60"/>
      <c r="X78" s="57"/>
      <c r="Y78" s="59"/>
      <c r="Z78" s="57"/>
      <c r="AB78" s="60"/>
      <c r="AC78" s="57"/>
      <c r="AD78" s="59"/>
      <c r="AE78" s="57"/>
      <c r="AH78" s="57"/>
      <c r="AI78" s="59"/>
      <c r="AJ78" s="57"/>
      <c r="AL78" s="60"/>
      <c r="AM78" s="57"/>
      <c r="AN78" s="59"/>
      <c r="AO78" s="57"/>
      <c r="AQ78" s="60"/>
      <c r="AR78" s="57"/>
      <c r="AS78" s="59"/>
      <c r="AT78" s="57"/>
      <c r="AV78" s="60"/>
      <c r="AW78" s="57"/>
      <c r="AX78" s="59"/>
      <c r="AY78" s="57"/>
      <c r="BA78" s="60"/>
      <c r="BB78" s="57"/>
      <c r="BC78" s="59"/>
      <c r="BD78" s="57"/>
      <c r="BF78" s="60"/>
      <c r="BG78" s="57"/>
      <c r="BH78" s="59"/>
      <c r="BI78" s="57"/>
      <c r="BK78" s="60"/>
      <c r="BL78" s="57"/>
      <c r="BM78" s="59"/>
      <c r="BN78" s="57"/>
      <c r="BP78" s="60"/>
      <c r="BQ78" s="57"/>
      <c r="BR78" s="59"/>
      <c r="BS78" s="57"/>
      <c r="BU78" s="60"/>
      <c r="BV78" s="57"/>
      <c r="BW78" s="59"/>
      <c r="BX78" s="57"/>
      <c r="BZ78" s="60"/>
      <c r="CA78" s="57"/>
      <c r="CB78" s="59"/>
      <c r="CC78" s="57"/>
      <c r="CE78" s="60"/>
      <c r="CF78" s="57"/>
      <c r="CG78" s="59"/>
      <c r="CH78" s="57"/>
    </row>
    <row r="79" spans="8:86" ht="12.75">
      <c r="H79" s="153">
        <f t="shared" si="42"/>
        <v>0.005138888888888889</v>
      </c>
      <c r="L79" s="44"/>
      <c r="N79" s="57"/>
      <c r="O79" s="59"/>
      <c r="P79" s="57"/>
      <c r="Q79" s="115"/>
      <c r="R79" s="60"/>
      <c r="S79" s="57"/>
      <c r="T79" s="59"/>
      <c r="U79" s="57"/>
      <c r="W79" s="60"/>
      <c r="X79" s="57"/>
      <c r="Y79" s="59"/>
      <c r="Z79" s="57"/>
      <c r="AB79" s="60"/>
      <c r="AC79" s="57"/>
      <c r="AD79" s="59"/>
      <c r="AE79" s="57"/>
      <c r="AH79" s="57"/>
      <c r="AI79" s="59"/>
      <c r="AJ79" s="57"/>
      <c r="AL79" s="60"/>
      <c r="AM79" s="57"/>
      <c r="AN79" s="59"/>
      <c r="AO79" s="57"/>
      <c r="AQ79" s="60"/>
      <c r="AR79" s="57"/>
      <c r="AS79" s="59"/>
      <c r="AT79" s="57"/>
      <c r="AV79" s="60"/>
      <c r="AW79" s="57"/>
      <c r="AX79" s="59"/>
      <c r="AY79" s="57"/>
      <c r="BA79" s="60"/>
      <c r="BB79" s="57"/>
      <c r="BC79" s="59"/>
      <c r="BD79" s="57"/>
      <c r="BF79" s="60"/>
      <c r="BG79" s="57"/>
      <c r="BH79" s="59"/>
      <c r="BI79" s="57"/>
      <c r="BK79" s="60"/>
      <c r="BL79" s="57"/>
      <c r="BM79" s="59"/>
      <c r="BN79" s="57"/>
      <c r="BP79" s="60"/>
      <c r="BQ79" s="57"/>
      <c r="BR79" s="59"/>
      <c r="BS79" s="57"/>
      <c r="BU79" s="60"/>
      <c r="BV79" s="57"/>
      <c r="BW79" s="59"/>
      <c r="BX79" s="57"/>
      <c r="BZ79" s="60"/>
      <c r="CA79" s="57"/>
      <c r="CB79" s="59"/>
      <c r="CC79" s="57"/>
      <c r="CE79" s="60"/>
      <c r="CF79" s="57"/>
      <c r="CG79" s="59"/>
      <c r="CH79" s="57"/>
    </row>
    <row r="80" spans="8:86" ht="12.75">
      <c r="H80" s="153">
        <f t="shared" si="42"/>
        <v>0.005277777777777777</v>
      </c>
      <c r="L80" s="44"/>
      <c r="N80" s="57"/>
      <c r="O80" s="59"/>
      <c r="P80" s="57"/>
      <c r="Q80" s="115"/>
      <c r="R80" s="60"/>
      <c r="S80" s="57"/>
      <c r="T80" s="59"/>
      <c r="U80" s="57"/>
      <c r="W80" s="60"/>
      <c r="X80" s="57"/>
      <c r="Y80" s="59"/>
      <c r="Z80" s="57"/>
      <c r="AB80" s="60"/>
      <c r="AC80" s="57"/>
      <c r="AD80" s="59"/>
      <c r="AE80" s="57"/>
      <c r="AH80" s="57"/>
      <c r="AI80" s="59"/>
      <c r="AJ80" s="57"/>
      <c r="AL80" s="60"/>
      <c r="AM80" s="57"/>
      <c r="AN80" s="59"/>
      <c r="AO80" s="57"/>
      <c r="AQ80" s="60"/>
      <c r="AR80" s="57"/>
      <c r="AS80" s="59"/>
      <c r="AT80" s="57"/>
      <c r="AV80" s="60"/>
      <c r="AW80" s="57"/>
      <c r="AX80" s="59"/>
      <c r="AY80" s="57"/>
      <c r="BA80" s="60"/>
      <c r="BB80" s="57"/>
      <c r="BC80" s="59"/>
      <c r="BD80" s="57"/>
      <c r="BF80" s="60"/>
      <c r="BG80" s="57"/>
      <c r="BH80" s="59"/>
      <c r="BI80" s="57"/>
      <c r="BK80" s="60"/>
      <c r="BL80" s="57"/>
      <c r="BM80" s="59"/>
      <c r="BN80" s="57"/>
      <c r="BP80" s="60"/>
      <c r="BQ80" s="57"/>
      <c r="BR80" s="59"/>
      <c r="BS80" s="57"/>
      <c r="BU80" s="60"/>
      <c r="BV80" s="57"/>
      <c r="BW80" s="59"/>
      <c r="BX80" s="57"/>
      <c r="BZ80" s="60"/>
      <c r="CA80" s="57"/>
      <c r="CB80" s="59"/>
      <c r="CC80" s="57"/>
      <c r="CE80" s="60"/>
      <c r="CF80" s="57"/>
      <c r="CG80" s="59"/>
      <c r="CH80" s="57"/>
    </row>
    <row r="81" spans="8:86" ht="12.75">
      <c r="H81" s="153">
        <f t="shared" si="42"/>
        <v>0.005324074074074075</v>
      </c>
      <c r="L81" s="44"/>
      <c r="N81" s="57"/>
      <c r="O81" s="59"/>
      <c r="P81" s="57"/>
      <c r="Q81" s="115"/>
      <c r="R81" s="60"/>
      <c r="S81" s="57"/>
      <c r="T81" s="59"/>
      <c r="U81" s="57"/>
      <c r="W81" s="60"/>
      <c r="X81" s="57"/>
      <c r="Y81" s="59"/>
      <c r="Z81" s="57"/>
      <c r="AB81" s="60"/>
      <c r="AC81" s="57"/>
      <c r="AD81" s="59"/>
      <c r="AE81" s="57"/>
      <c r="AH81" s="57"/>
      <c r="AI81" s="59"/>
      <c r="AJ81" s="57"/>
      <c r="AL81" s="60"/>
      <c r="AM81" s="57"/>
      <c r="AN81" s="59"/>
      <c r="AO81" s="57"/>
      <c r="AQ81" s="60"/>
      <c r="AR81" s="57"/>
      <c r="AS81" s="59"/>
      <c r="AT81" s="57"/>
      <c r="AV81" s="60"/>
      <c r="AW81" s="57"/>
      <c r="AX81" s="59"/>
      <c r="AY81" s="57"/>
      <c r="BA81" s="60"/>
      <c r="BB81" s="57"/>
      <c r="BC81" s="59"/>
      <c r="BD81" s="57"/>
      <c r="BF81" s="60"/>
      <c r="BG81" s="57"/>
      <c r="BH81" s="59"/>
      <c r="BI81" s="57"/>
      <c r="BK81" s="60"/>
      <c r="BL81" s="57"/>
      <c r="BM81" s="59"/>
      <c r="BN81" s="57"/>
      <c r="BP81" s="60"/>
      <c r="BQ81" s="57"/>
      <c r="BR81" s="59"/>
      <c r="BS81" s="57"/>
      <c r="BU81" s="60"/>
      <c r="BV81" s="57"/>
      <c r="BW81" s="59"/>
      <c r="BX81" s="57"/>
      <c r="BZ81" s="60"/>
      <c r="CA81" s="57"/>
      <c r="CB81" s="59"/>
      <c r="CC81" s="57"/>
      <c r="CE81" s="60"/>
      <c r="CF81" s="57"/>
      <c r="CG81" s="59"/>
      <c r="CH81" s="57"/>
    </row>
    <row r="82" spans="8:86" ht="12.75">
      <c r="H82" s="153">
        <f t="shared" si="42"/>
        <v>0.005335648148148148</v>
      </c>
      <c r="L82" s="44"/>
      <c r="N82" s="57"/>
      <c r="O82" s="59"/>
      <c r="P82" s="57"/>
      <c r="Q82" s="115"/>
      <c r="R82" s="60"/>
      <c r="S82" s="57"/>
      <c r="T82" s="59"/>
      <c r="U82" s="57"/>
      <c r="W82" s="60"/>
      <c r="X82" s="57"/>
      <c r="Y82" s="59"/>
      <c r="Z82" s="57"/>
      <c r="AB82" s="60"/>
      <c r="AC82" s="57"/>
      <c r="AD82" s="59"/>
      <c r="AE82" s="57"/>
      <c r="AH82" s="57"/>
      <c r="AI82" s="59"/>
      <c r="AJ82" s="57"/>
      <c r="AL82" s="60"/>
      <c r="AM82" s="57"/>
      <c r="AN82" s="59"/>
      <c r="AO82" s="57"/>
      <c r="AQ82" s="60"/>
      <c r="AR82" s="57"/>
      <c r="AS82" s="59"/>
      <c r="AT82" s="57"/>
      <c r="AV82" s="60"/>
      <c r="AW82" s="57"/>
      <c r="AX82" s="59"/>
      <c r="AY82" s="57"/>
      <c r="BA82" s="60"/>
      <c r="BB82" s="57"/>
      <c r="BC82" s="59"/>
      <c r="BD82" s="57"/>
      <c r="BF82" s="60"/>
      <c r="BG82" s="57"/>
      <c r="BH82" s="59"/>
      <c r="BI82" s="57"/>
      <c r="BK82" s="60"/>
      <c r="BL82" s="57"/>
      <c r="BM82" s="59"/>
      <c r="BN82" s="57"/>
      <c r="BP82" s="60"/>
      <c r="BQ82" s="57"/>
      <c r="BR82" s="59"/>
      <c r="BS82" s="57"/>
      <c r="BU82" s="60"/>
      <c r="BV82" s="57"/>
      <c r="BW82" s="59"/>
      <c r="BX82" s="57"/>
      <c r="BZ82" s="60"/>
      <c r="CA82" s="57"/>
      <c r="CB82" s="59"/>
      <c r="CC82" s="57"/>
      <c r="CE82" s="60"/>
      <c r="CF82" s="57"/>
      <c r="CG82" s="59"/>
      <c r="CH82" s="57"/>
    </row>
    <row r="83" spans="8:86" ht="12.75">
      <c r="H83" s="153"/>
      <c r="L83" s="44"/>
      <c r="N83" s="57"/>
      <c r="O83" s="59"/>
      <c r="P83" s="57"/>
      <c r="Q83" s="115"/>
      <c r="R83" s="60"/>
      <c r="S83" s="57"/>
      <c r="T83" s="59"/>
      <c r="U83" s="57"/>
      <c r="W83" s="60"/>
      <c r="X83" s="57"/>
      <c r="Y83" s="59"/>
      <c r="Z83" s="57"/>
      <c r="AB83" s="60"/>
      <c r="AC83" s="57"/>
      <c r="AD83" s="59"/>
      <c r="AE83" s="57"/>
      <c r="AH83" s="57"/>
      <c r="AI83" s="59"/>
      <c r="AJ83" s="57"/>
      <c r="AL83" s="60"/>
      <c r="AM83" s="57"/>
      <c r="AN83" s="59"/>
      <c r="AO83" s="57"/>
      <c r="AQ83" s="60"/>
      <c r="AR83" s="57"/>
      <c r="AS83" s="59"/>
      <c r="AT83" s="57"/>
      <c r="AV83" s="60"/>
      <c r="AW83" s="57"/>
      <c r="AX83" s="59"/>
      <c r="AY83" s="57"/>
      <c r="BA83" s="60"/>
      <c r="BB83" s="57"/>
      <c r="BC83" s="59"/>
      <c r="BD83" s="57"/>
      <c r="BF83" s="60"/>
      <c r="BG83" s="57"/>
      <c r="BH83" s="59"/>
      <c r="BI83" s="57"/>
      <c r="BK83" s="60"/>
      <c r="BL83" s="57"/>
      <c r="BM83" s="59"/>
      <c r="BN83" s="57"/>
      <c r="BP83" s="60"/>
      <c r="BQ83" s="57"/>
      <c r="BR83" s="59"/>
      <c r="BS83" s="57"/>
      <c r="BU83" s="60"/>
      <c r="BV83" s="57"/>
      <c r="BW83" s="59"/>
      <c r="BX83" s="57"/>
      <c r="BZ83" s="60"/>
      <c r="CA83" s="57"/>
      <c r="CB83" s="59"/>
      <c r="CC83" s="57"/>
      <c r="CE83" s="60"/>
      <c r="CF83" s="57"/>
      <c r="CG83" s="59"/>
      <c r="CH83" s="57"/>
    </row>
    <row r="84" spans="8:86" ht="12.75">
      <c r="H84" s="153"/>
      <c r="L84" s="44"/>
      <c r="N84" s="57"/>
      <c r="O84" s="59"/>
      <c r="P84" s="57"/>
      <c r="Q84" s="115"/>
      <c r="R84" s="60"/>
      <c r="S84" s="57"/>
      <c r="T84" s="59"/>
      <c r="U84" s="57"/>
      <c r="W84" s="60"/>
      <c r="X84" s="57"/>
      <c r="Y84" s="59"/>
      <c r="Z84" s="57"/>
      <c r="AB84" s="60"/>
      <c r="AC84" s="57"/>
      <c r="AD84" s="59"/>
      <c r="AE84" s="57"/>
      <c r="AH84" s="57"/>
      <c r="AI84" s="59"/>
      <c r="AJ84" s="57"/>
      <c r="AL84" s="60"/>
      <c r="AM84" s="57"/>
      <c r="AN84" s="59"/>
      <c r="AO84" s="57"/>
      <c r="AQ84" s="60"/>
      <c r="AR84" s="57"/>
      <c r="AS84" s="59"/>
      <c r="AT84" s="57"/>
      <c r="AV84" s="60"/>
      <c r="AW84" s="57"/>
      <c r="AX84" s="59"/>
      <c r="AY84" s="57"/>
      <c r="BA84" s="60"/>
      <c r="BB84" s="57"/>
      <c r="BC84" s="59"/>
      <c r="BD84" s="57"/>
      <c r="BF84" s="60"/>
      <c r="BG84" s="57"/>
      <c r="BH84" s="59"/>
      <c r="BI84" s="57"/>
      <c r="BK84" s="60"/>
      <c r="BL84" s="57"/>
      <c r="BM84" s="59"/>
      <c r="BN84" s="57"/>
      <c r="BP84" s="60"/>
      <c r="BQ84" s="57"/>
      <c r="BR84" s="59"/>
      <c r="BS84" s="57"/>
      <c r="BU84" s="60"/>
      <c r="BV84" s="57"/>
      <c r="BW84" s="59"/>
      <c r="BX84" s="57"/>
      <c r="BZ84" s="60"/>
      <c r="CA84" s="57"/>
      <c r="CB84" s="59"/>
      <c r="CC84" s="57"/>
      <c r="CE84" s="60"/>
      <c r="CF84" s="57"/>
      <c r="CG84" s="59"/>
      <c r="CH84" s="57"/>
    </row>
    <row r="85" spans="8:86" ht="12.75">
      <c r="H85" s="153"/>
      <c r="L85" s="44"/>
      <c r="N85" s="57"/>
      <c r="O85" s="59"/>
      <c r="P85" s="57"/>
      <c r="Q85" s="115"/>
      <c r="R85" s="60"/>
      <c r="S85" s="57"/>
      <c r="T85" s="59"/>
      <c r="U85" s="57"/>
      <c r="W85" s="60"/>
      <c r="X85" s="57"/>
      <c r="Y85" s="59"/>
      <c r="Z85" s="57"/>
      <c r="AB85" s="60"/>
      <c r="AC85" s="57"/>
      <c r="AD85" s="59"/>
      <c r="AE85" s="57"/>
      <c r="AH85" s="57"/>
      <c r="AI85" s="59"/>
      <c r="AJ85" s="57"/>
      <c r="AL85" s="60"/>
      <c r="AM85" s="57"/>
      <c r="AN85" s="59"/>
      <c r="AO85" s="57"/>
      <c r="AQ85" s="60"/>
      <c r="AR85" s="57"/>
      <c r="AS85" s="59"/>
      <c r="AT85" s="57"/>
      <c r="AV85" s="60"/>
      <c r="AW85" s="57"/>
      <c r="AX85" s="59"/>
      <c r="AY85" s="57"/>
      <c r="BA85" s="60"/>
      <c r="BB85" s="57"/>
      <c r="BC85" s="59"/>
      <c r="BD85" s="57"/>
      <c r="BF85" s="60"/>
      <c r="BG85" s="57"/>
      <c r="BH85" s="59"/>
      <c r="BI85" s="57"/>
      <c r="BK85" s="60"/>
      <c r="BL85" s="57"/>
      <c r="BM85" s="59"/>
      <c r="BN85" s="57"/>
      <c r="BP85" s="60"/>
      <c r="BQ85" s="57"/>
      <c r="BR85" s="59"/>
      <c r="BS85" s="57"/>
      <c r="BU85" s="60"/>
      <c r="BV85" s="57"/>
      <c r="BW85" s="59"/>
      <c r="BX85" s="57"/>
      <c r="BZ85" s="60"/>
      <c r="CA85" s="57"/>
      <c r="CB85" s="59"/>
      <c r="CC85" s="57"/>
      <c r="CE85" s="60"/>
      <c r="CF85" s="57"/>
      <c r="CG85" s="59"/>
      <c r="CH85" s="57"/>
    </row>
    <row r="86" spans="8:86" ht="12.75">
      <c r="H86" s="153"/>
      <c r="L86" s="44"/>
      <c r="N86" s="57"/>
      <c r="O86" s="59"/>
      <c r="P86" s="57"/>
      <c r="Q86" s="115"/>
      <c r="R86" s="60"/>
      <c r="S86" s="57"/>
      <c r="T86" s="59"/>
      <c r="U86" s="57"/>
      <c r="W86" s="60"/>
      <c r="X86" s="57"/>
      <c r="Y86" s="59"/>
      <c r="Z86" s="57"/>
      <c r="AB86" s="60"/>
      <c r="AC86" s="57"/>
      <c r="AD86" s="59"/>
      <c r="AE86" s="57"/>
      <c r="AH86" s="57"/>
      <c r="AI86" s="59"/>
      <c r="AJ86" s="57"/>
      <c r="AL86" s="60"/>
      <c r="AM86" s="57"/>
      <c r="AN86" s="59"/>
      <c r="AO86" s="57"/>
      <c r="AQ86" s="60"/>
      <c r="AR86" s="57"/>
      <c r="AS86" s="59"/>
      <c r="AT86" s="57"/>
      <c r="AV86" s="60"/>
      <c r="AW86" s="57"/>
      <c r="AX86" s="59"/>
      <c r="AY86" s="57"/>
      <c r="BA86" s="60"/>
      <c r="BB86" s="57"/>
      <c r="BC86" s="59"/>
      <c r="BD86" s="57"/>
      <c r="BF86" s="60"/>
      <c r="BG86" s="57"/>
      <c r="BH86" s="59"/>
      <c r="BI86" s="57"/>
      <c r="BK86" s="60"/>
      <c r="BL86" s="57"/>
      <c r="BM86" s="59"/>
      <c r="BN86" s="57"/>
      <c r="BP86" s="60"/>
      <c r="BQ86" s="57"/>
      <c r="BR86" s="59"/>
      <c r="BS86" s="57"/>
      <c r="BU86" s="60"/>
      <c r="BV86" s="57"/>
      <c r="BW86" s="59"/>
      <c r="BX86" s="57"/>
      <c r="BZ86" s="60"/>
      <c r="CA86" s="57"/>
      <c r="CB86" s="59"/>
      <c r="CC86" s="57"/>
      <c r="CE86" s="60"/>
      <c r="CF86" s="57"/>
      <c r="CG86" s="59"/>
      <c r="CH86" s="57"/>
    </row>
    <row r="87" ht="12.75">
      <c r="H87" s="60"/>
    </row>
    <row r="88" ht="12.75">
      <c r="H88" s="60"/>
    </row>
    <row r="89" ht="12.75">
      <c r="H89" s="60"/>
    </row>
    <row r="90" ht="12.75">
      <c r="H90" s="60"/>
    </row>
    <row r="91" ht="12.75">
      <c r="H91" s="60"/>
    </row>
    <row r="92" ht="12.75">
      <c r="H92" s="60"/>
    </row>
    <row r="93" ht="12.75">
      <c r="H93" s="60"/>
    </row>
    <row r="94" ht="12.75">
      <c r="H94" s="60"/>
    </row>
    <row r="95" ht="12.75">
      <c r="H95" s="60"/>
    </row>
  </sheetData>
  <dataValidations count="7">
    <dataValidation type="list" allowBlank="1" showInputMessage="1" showErrorMessage="1" sqref="AL14 AG14 AQ4 W14 H4 AG4 R4 AB14 M4 AB4 R14 AQ14 H14 W4 AL4 M14">
      <formula1>$B$25:$E$25</formula1>
    </dataValidation>
    <dataValidation type="list" allowBlank="1" showInputMessage="1" showErrorMessage="1" sqref="AQ15 AG15 W15 R15 H5 AG5 AQ5 AB15 R5 M5 H15 AB5 AL15 W5 AL5 M15">
      <formula1>$B$26:$E$26</formula1>
    </dataValidation>
    <dataValidation type="list" allowBlank="1" showInputMessage="1" showErrorMessage="1" sqref="AG16 H6 W16 AG6 R16 AQ6 R6 AL16 AB16 M6 H16 AB6 AQ16 W6 AL6 M16">
      <formula1>$B$27:$E$27</formula1>
    </dataValidation>
    <dataValidation type="list" allowBlank="1" showInputMessage="1" showErrorMessage="1" sqref="H20 AG20 H10 AG10 R20 AQ10 AQ20 AB20 R10 M10 W20 AB10 AL20 W10 AL10 M20">
      <formula1>$B$31:$E$31</formula1>
    </dataValidation>
    <dataValidation type="list" allowBlank="1" showInputMessage="1" showErrorMessage="1" sqref="H17 H7 M7 R7 W7 AB7 AG7 AL7 AQ7 AQ17 AL17 AG17 AB17 W17 R17 M17">
      <formula1>$B$28:$E$28</formula1>
    </dataValidation>
    <dataValidation type="list" allowBlank="1" showInputMessage="1" showErrorMessage="1" sqref="H18 H8 M8 R8 W8 AB8 AG8 AL8 AQ8 AQ18 AL18 AG18 AB18 W18 R18 M18">
      <formula1>$B$29:$E$29</formula1>
    </dataValidation>
    <dataValidation type="list" allowBlank="1" showInputMessage="1" showErrorMessage="1" sqref="H19 H9 M9 R9 W9 AB9 AG9 AL9 AQ9 AQ19 AL19 AG19 AB19 W19 R19 M19">
      <formula1>$B$30:$E$30</formula1>
    </dataValidation>
  </dataValidations>
  <printOptions/>
  <pageMargins left="0.36" right="0.59" top="1" bottom="1" header="0.5" footer="0.5"/>
  <pageSetup fitToHeight="1" fitToWidth="1" horizontalDpi="300" verticalDpi="3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19"/>
  <sheetViews>
    <sheetView showZeros="0" workbookViewId="0" topLeftCell="A1">
      <pane xSplit="1" topLeftCell="AO1" activePane="topRight" state="frozen"/>
      <selection pane="topLeft" activeCell="A1" sqref="A1"/>
      <selection pane="topRight" activeCell="AU33" sqref="AU33"/>
    </sheetView>
  </sheetViews>
  <sheetFormatPr defaultColWidth="9.140625" defaultRowHeight="12.75"/>
  <cols>
    <col min="1" max="1" width="24.140625" style="32" customWidth="1"/>
    <col min="2" max="2" width="14.8515625" style="90" bestFit="1" customWidth="1"/>
    <col min="3" max="3" width="6.7109375" style="32" customWidth="1"/>
    <col min="4" max="4" width="10.140625" style="32" bestFit="1" customWidth="1"/>
    <col min="5" max="5" width="15.7109375" style="151" customWidth="1"/>
    <col min="6" max="6" width="6.7109375" style="152" customWidth="1"/>
    <col min="7" max="7" width="10.140625" style="152" bestFit="1" customWidth="1"/>
    <col min="8" max="8" width="15.7109375" style="151" customWidth="1"/>
    <col min="9" max="9" width="6.7109375" style="152" customWidth="1"/>
    <col min="10" max="10" width="10.140625" style="152" bestFit="1" customWidth="1"/>
    <col min="11" max="11" width="15.7109375" style="90" customWidth="1"/>
    <col min="12" max="12" width="6.7109375" style="32" customWidth="1"/>
    <col min="13" max="13" width="10.140625" style="32" bestFit="1" customWidth="1"/>
    <col min="14" max="14" width="15.7109375" style="90" customWidth="1"/>
    <col min="15" max="15" width="6.7109375" style="32" customWidth="1"/>
    <col min="16" max="16" width="10.140625" style="32" bestFit="1" customWidth="1"/>
    <col min="17" max="17" width="15.7109375" style="90" customWidth="1"/>
    <col min="18" max="18" width="6.7109375" style="32" customWidth="1"/>
    <col min="19" max="19" width="10.140625" style="32" bestFit="1" customWidth="1"/>
    <col min="20" max="20" width="15.7109375" style="90" customWidth="1"/>
    <col min="21" max="21" width="6.7109375" style="32" customWidth="1"/>
    <col min="22" max="22" width="10.140625" style="32" bestFit="1" customWidth="1"/>
    <col min="23" max="23" width="15.7109375" style="90" customWidth="1"/>
    <col min="24" max="24" width="6.7109375" style="32" customWidth="1"/>
    <col min="25" max="25" width="10.140625" style="32" bestFit="1" customWidth="1"/>
    <col min="26" max="26" width="15.140625" style="90" bestFit="1" customWidth="1"/>
    <col min="27" max="27" width="6.7109375" style="32" customWidth="1"/>
    <col min="28" max="28" width="10.140625" style="32" bestFit="1" customWidth="1"/>
    <col min="29" max="29" width="15.7109375" style="90" customWidth="1"/>
    <col min="30" max="30" width="6.7109375" style="32" customWidth="1"/>
    <col min="31" max="31" width="10.140625" style="32" bestFit="1" customWidth="1"/>
    <col min="32" max="32" width="15.7109375" style="90" customWidth="1"/>
    <col min="33" max="33" width="6.7109375" style="32" customWidth="1"/>
    <col min="34" max="34" width="10.140625" style="32" bestFit="1" customWidth="1"/>
    <col min="35" max="35" width="15.7109375" style="90" customWidth="1"/>
    <col min="36" max="36" width="6.7109375" style="32" customWidth="1"/>
    <col min="37" max="37" width="10.140625" style="32" bestFit="1" customWidth="1"/>
    <col min="38" max="38" width="15.7109375" style="90" customWidth="1"/>
    <col min="39" max="39" width="6.7109375" style="32" customWidth="1"/>
    <col min="40" max="40" width="10.140625" style="32" bestFit="1" customWidth="1"/>
    <col min="41" max="41" width="15.7109375" style="90" customWidth="1"/>
    <col min="42" max="42" width="6.7109375" style="32" customWidth="1"/>
    <col min="43" max="43" width="10.140625" style="32" bestFit="1" customWidth="1"/>
    <col min="44" max="44" width="15.7109375" style="90" customWidth="1"/>
    <col min="45" max="45" width="6.7109375" style="32" customWidth="1"/>
    <col min="46" max="46" width="10.140625" style="32" bestFit="1" customWidth="1"/>
    <col min="47" max="47" width="15.7109375" style="90" customWidth="1"/>
    <col min="48" max="48" width="6.7109375" style="32" customWidth="1"/>
    <col min="49" max="49" width="10.140625" style="32" bestFit="1" customWidth="1"/>
    <col min="50" max="50" width="52.140625" style="107" customWidth="1"/>
    <col min="51" max="51" width="16.00390625" style="107" customWidth="1"/>
    <col min="52" max="67" width="9.140625" style="107" customWidth="1"/>
    <col min="68" max="16384" width="9.140625" style="32" customWidth="1"/>
  </cols>
  <sheetData>
    <row r="2" spans="2:49" ht="12.75">
      <c r="B2" s="98" t="s">
        <v>5</v>
      </c>
      <c r="C2" s="99"/>
      <c r="D2" s="100"/>
      <c r="E2" s="139" t="s">
        <v>12</v>
      </c>
      <c r="F2" s="140"/>
      <c r="G2" s="141"/>
      <c r="H2" s="98" t="s">
        <v>13</v>
      </c>
      <c r="I2" s="99"/>
      <c r="J2" s="100"/>
      <c r="K2" s="98" t="s">
        <v>14</v>
      </c>
      <c r="L2" s="99"/>
      <c r="M2" s="100"/>
      <c r="N2" s="98" t="s">
        <v>15</v>
      </c>
      <c r="O2" s="99"/>
      <c r="P2" s="100"/>
      <c r="Q2" s="98" t="s">
        <v>16</v>
      </c>
      <c r="R2" s="99"/>
      <c r="S2" s="100"/>
      <c r="T2" s="98" t="s">
        <v>17</v>
      </c>
      <c r="U2" s="99"/>
      <c r="V2" s="100"/>
      <c r="W2" s="98" t="s">
        <v>18</v>
      </c>
      <c r="X2" s="99"/>
      <c r="Y2" s="100"/>
      <c r="Z2" s="98" t="s">
        <v>21</v>
      </c>
      <c r="AA2" s="99"/>
      <c r="AB2" s="100"/>
      <c r="AC2" s="98" t="s">
        <v>22</v>
      </c>
      <c r="AD2" s="99"/>
      <c r="AE2" s="100"/>
      <c r="AF2" s="98" t="s">
        <v>23</v>
      </c>
      <c r="AG2" s="99"/>
      <c r="AH2" s="100"/>
      <c r="AI2" s="98" t="s">
        <v>24</v>
      </c>
      <c r="AJ2" s="99"/>
      <c r="AK2" s="100"/>
      <c r="AL2" s="98" t="s">
        <v>25</v>
      </c>
      <c r="AM2" s="99"/>
      <c r="AN2" s="100"/>
      <c r="AO2" s="98" t="s">
        <v>26</v>
      </c>
      <c r="AP2" s="99"/>
      <c r="AQ2" s="100"/>
      <c r="AR2" s="98" t="s">
        <v>54</v>
      </c>
      <c r="AS2" s="99"/>
      <c r="AT2" s="100"/>
      <c r="AU2" s="98" t="s">
        <v>55</v>
      </c>
      <c r="AV2" s="99"/>
      <c r="AW2" s="100"/>
    </row>
    <row r="3" spans="1:67" s="34" customFormat="1" ht="19.5" customHeight="1">
      <c r="A3" s="91" t="s">
        <v>0</v>
      </c>
      <c r="B3" s="92" t="s">
        <v>6</v>
      </c>
      <c r="C3" s="93" t="s">
        <v>7</v>
      </c>
      <c r="D3" s="94" t="s">
        <v>41</v>
      </c>
      <c r="E3" s="142" t="s">
        <v>6</v>
      </c>
      <c r="F3" s="143" t="s">
        <v>7</v>
      </c>
      <c r="G3" s="144" t="s">
        <v>41</v>
      </c>
      <c r="H3" s="142" t="s">
        <v>6</v>
      </c>
      <c r="I3" s="143" t="s">
        <v>7</v>
      </c>
      <c r="J3" s="144" t="s">
        <v>41</v>
      </c>
      <c r="K3" s="95" t="s">
        <v>6</v>
      </c>
      <c r="L3" s="96" t="s">
        <v>7</v>
      </c>
      <c r="M3" s="97" t="s">
        <v>41</v>
      </c>
      <c r="N3" s="95" t="s">
        <v>6</v>
      </c>
      <c r="O3" s="96" t="s">
        <v>7</v>
      </c>
      <c r="P3" s="97" t="s">
        <v>41</v>
      </c>
      <c r="Q3" s="95" t="s">
        <v>6</v>
      </c>
      <c r="R3" s="96" t="s">
        <v>7</v>
      </c>
      <c r="S3" s="97" t="s">
        <v>41</v>
      </c>
      <c r="T3" s="95" t="s">
        <v>6</v>
      </c>
      <c r="U3" s="96" t="s">
        <v>7</v>
      </c>
      <c r="V3" s="97" t="s">
        <v>41</v>
      </c>
      <c r="W3" s="95" t="s">
        <v>6</v>
      </c>
      <c r="X3" s="96" t="s">
        <v>7</v>
      </c>
      <c r="Y3" s="97" t="s">
        <v>41</v>
      </c>
      <c r="Z3" s="95" t="s">
        <v>6</v>
      </c>
      <c r="AA3" s="96" t="s">
        <v>7</v>
      </c>
      <c r="AB3" s="97" t="s">
        <v>41</v>
      </c>
      <c r="AC3" s="95" t="s">
        <v>6</v>
      </c>
      <c r="AD3" s="96" t="s">
        <v>7</v>
      </c>
      <c r="AE3" s="97" t="s">
        <v>41</v>
      </c>
      <c r="AF3" s="95" t="s">
        <v>6</v>
      </c>
      <c r="AG3" s="96" t="s">
        <v>7</v>
      </c>
      <c r="AH3" s="97" t="s">
        <v>41</v>
      </c>
      <c r="AI3" s="95" t="s">
        <v>6</v>
      </c>
      <c r="AJ3" s="96" t="s">
        <v>7</v>
      </c>
      <c r="AK3" s="97" t="s">
        <v>41</v>
      </c>
      <c r="AL3" s="95" t="s">
        <v>6</v>
      </c>
      <c r="AM3" s="96" t="s">
        <v>7</v>
      </c>
      <c r="AN3" s="97" t="s">
        <v>41</v>
      </c>
      <c r="AO3" s="95" t="s">
        <v>6</v>
      </c>
      <c r="AP3" s="96" t="s">
        <v>7</v>
      </c>
      <c r="AQ3" s="97" t="s">
        <v>41</v>
      </c>
      <c r="AR3" s="95" t="s">
        <v>6</v>
      </c>
      <c r="AS3" s="96" t="s">
        <v>7</v>
      </c>
      <c r="AT3" s="97" t="s">
        <v>41</v>
      </c>
      <c r="AU3" s="95" t="s">
        <v>6</v>
      </c>
      <c r="AV3" s="96" t="s">
        <v>7</v>
      </c>
      <c r="AW3" s="97" t="s">
        <v>41</v>
      </c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s="34" customFormat="1" ht="19.5" customHeight="1">
      <c r="A4" s="86" t="str">
        <f>'Team Selection'!B3</f>
        <v>A Wookie &amp; 4 Ewoks</v>
      </c>
      <c r="B4" s="87" t="str">
        <f>'Stage  Entry'!H4</f>
        <v>Thai Phan</v>
      </c>
      <c r="C4" s="88">
        <f>'Stage  Entry'!I4</f>
        <v>0.005775462962962962</v>
      </c>
      <c r="D4" s="89">
        <f aca="true" t="shared" si="0" ref="D4:D10">C4</f>
        <v>0.005775462962962962</v>
      </c>
      <c r="E4" s="145" t="str">
        <f>'Stage  Entry'!M4</f>
        <v>Norval Hope</v>
      </c>
      <c r="F4" s="146">
        <f>'Stage  Entry'!N4</f>
        <v>0.005706018518518519</v>
      </c>
      <c r="G4" s="147">
        <f>D4+F4</f>
        <v>0.011481481481481481</v>
      </c>
      <c r="H4" s="145" t="str">
        <f>'Stage  Entry'!R4</f>
        <v>Mark P &amp; Max H</v>
      </c>
      <c r="I4" s="146">
        <f>'Stage  Entry'!S4</f>
        <v>0.007129629629629631</v>
      </c>
      <c r="J4" s="147">
        <f>G4+I4</f>
        <v>0.018611111111111113</v>
      </c>
      <c r="K4" s="87" t="str">
        <f>'Stage  Entry'!W4</f>
        <v>Stephen Paine</v>
      </c>
      <c r="L4" s="88">
        <f>'Stage  Entry'!X4</f>
        <v>0.004814814814814815</v>
      </c>
      <c r="M4" s="89">
        <f>J4+L4</f>
        <v>0.023425925925925926</v>
      </c>
      <c r="N4" s="87" t="str">
        <f>'Stage  Entry'!AB4</f>
        <v>Thai Phan</v>
      </c>
      <c r="O4" s="88">
        <f>'Stage  Entry'!AC4</f>
        <v>0.00954861111111111</v>
      </c>
      <c r="P4" s="89">
        <f>M4+O4</f>
        <v>0.03297453703703704</v>
      </c>
      <c r="Q4" s="87" t="str">
        <f>'Stage  Entry'!AG4</f>
        <v>Norval Hope</v>
      </c>
      <c r="R4" s="88">
        <f>'Stage  Entry'!AH4</f>
        <v>0.01005787037037037</v>
      </c>
      <c r="S4" s="89">
        <f>P4+R4</f>
        <v>0.04303240740740741</v>
      </c>
      <c r="T4" s="87" t="str">
        <f>'Stage  Entry'!AL4</f>
        <v>Mark P &amp; Max H</v>
      </c>
      <c r="U4" s="88">
        <f>'Stage  Entry'!AM4</f>
        <v>0.01144675925925926</v>
      </c>
      <c r="V4" s="89">
        <f>S4+U4</f>
        <v>0.05447916666666667</v>
      </c>
      <c r="W4" s="87" t="str">
        <f>'Stage  Entry'!AQ4</f>
        <v>Stephen Paine</v>
      </c>
      <c r="X4" s="88">
        <f>'Stage  Entry'!AR4</f>
        <v>0.009340277777777777</v>
      </c>
      <c r="Y4" s="89">
        <f>V4+X4</f>
        <v>0.06381944444444444</v>
      </c>
      <c r="Z4" s="87" t="str">
        <f>'Stage  Entry'!H14</f>
        <v>Thai Phan</v>
      </c>
      <c r="AA4" s="88">
        <f>'Stage  Entry'!I14</f>
        <v>0.011689814814814814</v>
      </c>
      <c r="AB4" s="89">
        <f>Y4+AA4</f>
        <v>0.07550925925925926</v>
      </c>
      <c r="AC4" s="87" t="str">
        <f>'Stage  Entry'!M14</f>
        <v>Mark P &amp; Max H</v>
      </c>
      <c r="AD4" s="88">
        <f>'Stage  Entry'!N14</f>
        <v>0.010868055555555556</v>
      </c>
      <c r="AE4" s="89">
        <f>AB4+AD4</f>
        <v>0.08637731481481482</v>
      </c>
      <c r="AF4" s="87" t="str">
        <f>'Stage  Entry'!R14</f>
        <v>Norval Hope</v>
      </c>
      <c r="AG4" s="88">
        <f>'Stage  Entry'!S14</f>
        <v>0.011423611111111112</v>
      </c>
      <c r="AH4" s="89">
        <f>AE4+AG4</f>
        <v>0.09780092592592593</v>
      </c>
      <c r="AI4" s="87" t="str">
        <f>'Stage  Entry'!W14</f>
        <v>Mark P &amp; Max H</v>
      </c>
      <c r="AJ4" s="88">
        <f>'Stage  Entry'!X14</f>
        <v>0.008391203703703705</v>
      </c>
      <c r="AK4" s="89">
        <f>AH4+AJ4</f>
        <v>0.10619212962962964</v>
      </c>
      <c r="AL4" s="87" t="str">
        <f>'Stage  Entry'!AB14</f>
        <v>Stephen Paine</v>
      </c>
      <c r="AM4" s="88">
        <f>'Stage  Entry'!AC14</f>
        <v>0.01042824074074074</v>
      </c>
      <c r="AN4" s="89">
        <f>AK4+AM4</f>
        <v>0.11662037037037037</v>
      </c>
      <c r="AO4" s="87" t="str">
        <f>'Stage  Entry'!AG14</f>
        <v>Thai Phan</v>
      </c>
      <c r="AP4" s="88">
        <f>'Stage  Entry'!AH14</f>
        <v>0.01085648148148148</v>
      </c>
      <c r="AQ4" s="89">
        <f>AN4+AP4</f>
        <v>0.12747685185185187</v>
      </c>
      <c r="AR4" s="87" t="str">
        <f>'Stage  Entry'!AL14</f>
        <v>Norval Hope</v>
      </c>
      <c r="AS4" s="88">
        <f>'Stage  Entry'!AM14</f>
        <v>0.01329861111111111</v>
      </c>
      <c r="AT4" s="89">
        <f>AQ4+AS4</f>
        <v>0.14077546296296298</v>
      </c>
      <c r="AU4" s="87" t="str">
        <f>'Stage  Entry'!AQ14</f>
        <v>Stephen Paine</v>
      </c>
      <c r="AV4" s="88">
        <f>'Stage  Entry'!AR14</f>
        <v>0.01298611111111111</v>
      </c>
      <c r="AW4" s="89">
        <f>AT4+AV4</f>
        <v>0.1537615740740741</v>
      </c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</row>
    <row r="5" spans="1:67" s="34" customFormat="1" ht="19.5" customHeight="1">
      <c r="A5" s="86" t="str">
        <f>'Team Selection'!B4</f>
        <v>Troys Terrors</v>
      </c>
      <c r="B5" s="87" t="str">
        <f>'Stage  Entry'!H5</f>
        <v>Shirley Ching</v>
      </c>
      <c r="C5" s="88">
        <f>'Stage  Entry'!I5</f>
        <v>0.0075</v>
      </c>
      <c r="D5" s="89">
        <f t="shared" si="0"/>
        <v>0.0075</v>
      </c>
      <c r="E5" s="145" t="str">
        <f>'Stage  Entry'!M5</f>
        <v>Glenn Goodman</v>
      </c>
      <c r="F5" s="146">
        <f>'Stage  Entry'!N5</f>
        <v>0.005891203703703703</v>
      </c>
      <c r="G5" s="147">
        <f aca="true" t="shared" si="1" ref="G5:G10">D5+F5</f>
        <v>0.013391203703703704</v>
      </c>
      <c r="H5" s="145" t="str">
        <f>'Stage  Entry'!R5</f>
        <v>Matt Clark</v>
      </c>
      <c r="I5" s="146">
        <f>'Stage  Entry'!S5</f>
        <v>0.0060648148148148145</v>
      </c>
      <c r="J5" s="147">
        <f aca="true" t="shared" si="2" ref="J5:J10">G5+I5</f>
        <v>0.01945601851851852</v>
      </c>
      <c r="K5" s="87" t="str">
        <f>'Stage  Entry'!W5</f>
        <v>Troy Williams</v>
      </c>
      <c r="L5" s="88">
        <f>'Stage  Entry'!X5</f>
        <v>0.005219907407407407</v>
      </c>
      <c r="M5" s="89">
        <f aca="true" t="shared" si="3" ref="M5:M10">J5+L5</f>
        <v>0.024675925925925924</v>
      </c>
      <c r="N5" s="87" t="str">
        <f>'Stage  Entry'!AB5</f>
        <v>Shirley Ching</v>
      </c>
      <c r="O5" s="88">
        <f>'Stage  Entry'!AC5</f>
        <v>0.012164351851851852</v>
      </c>
      <c r="P5" s="89">
        <f aca="true" t="shared" si="4" ref="P5:P10">M5+O5</f>
        <v>0.03684027777777778</v>
      </c>
      <c r="Q5" s="87" t="str">
        <f>'Stage  Entry'!AG5</f>
        <v>Glenn Goodman</v>
      </c>
      <c r="R5" s="88">
        <f>'Stage  Entry'!AH5</f>
        <v>0.010219907407407408</v>
      </c>
      <c r="S5" s="89">
        <f aca="true" t="shared" si="5" ref="S5:S10">P5+R5</f>
        <v>0.047060185185185184</v>
      </c>
      <c r="T5" s="87" t="str">
        <f>'Stage  Entry'!AL5</f>
        <v>Matt Clark</v>
      </c>
      <c r="U5" s="88">
        <f>'Stage  Entry'!AM5</f>
        <v>0.009942129629629629</v>
      </c>
      <c r="V5" s="89">
        <f aca="true" t="shared" si="6" ref="V5:V10">S5+U5</f>
        <v>0.05700231481481481</v>
      </c>
      <c r="W5" s="87" t="str">
        <f>'Stage  Entry'!AQ5</f>
        <v>Troy Williams</v>
      </c>
      <c r="X5" s="88">
        <f>'Stage  Entry'!AR5</f>
        <v>0.010069444444444445</v>
      </c>
      <c r="Y5" s="89">
        <f aca="true" t="shared" si="7" ref="Y5:Y10">V5+X5</f>
        <v>0.06707175925925926</v>
      </c>
      <c r="Z5" s="87" t="str">
        <f>'Stage  Entry'!H15</f>
        <v>Matt Clark</v>
      </c>
      <c r="AA5" s="88">
        <f>'Stage  Entry'!I15</f>
        <v>0.011967592592592592</v>
      </c>
      <c r="AB5" s="89">
        <f aca="true" t="shared" si="8" ref="AB5:AB10">Y5+AA5</f>
        <v>0.07903935185185185</v>
      </c>
      <c r="AC5" s="87" t="str">
        <f>'Stage  Entry'!M15</f>
        <v>Shirley Ching</v>
      </c>
      <c r="AD5" s="88">
        <f>'Stage  Entry'!N15</f>
        <v>0.011655092592592594</v>
      </c>
      <c r="AE5" s="89">
        <f aca="true" t="shared" si="9" ref="AE5:AE10">AB5+AD5</f>
        <v>0.09069444444444444</v>
      </c>
      <c r="AF5" s="87" t="str">
        <f>'Stage  Entry'!R15</f>
        <v>Glenn Goodman</v>
      </c>
      <c r="AG5" s="88">
        <f>'Stage  Entry'!S15</f>
        <v>0.011712962962962965</v>
      </c>
      <c r="AH5" s="89">
        <f aca="true" t="shared" si="10" ref="AH5:AH10">AE5+AG5</f>
        <v>0.1024074074074074</v>
      </c>
      <c r="AI5" s="87" t="str">
        <f>'Stage  Entry'!W15</f>
        <v>Shirley Ching</v>
      </c>
      <c r="AJ5" s="88">
        <f>'Stage  Entry'!X15</f>
        <v>0.009189814814814814</v>
      </c>
      <c r="AK5" s="89">
        <f aca="true" t="shared" si="11" ref="AK5:AK10">AH5+AJ5</f>
        <v>0.11159722222222222</v>
      </c>
      <c r="AL5" s="87" t="str">
        <f>'Stage  Entry'!AB15</f>
        <v>Troy Williams</v>
      </c>
      <c r="AM5" s="88">
        <f>'Stage  Entry'!AC15</f>
        <v>0.011284722222222222</v>
      </c>
      <c r="AN5" s="89">
        <f aca="true" t="shared" si="12" ref="AN5:AN10">AK5+AM5</f>
        <v>0.12288194444444445</v>
      </c>
      <c r="AO5" s="87" t="str">
        <f>'Stage  Entry'!AG15</f>
        <v>Matt Clark</v>
      </c>
      <c r="AP5" s="88">
        <f>'Stage  Entry'!AH15</f>
        <v>0.011828703703703704</v>
      </c>
      <c r="AQ5" s="89">
        <f aca="true" t="shared" si="13" ref="AQ5:AQ10">AN5+AP5</f>
        <v>0.13471064814814815</v>
      </c>
      <c r="AR5" s="87" t="str">
        <f>'Stage  Entry'!AL15</f>
        <v>Glenn Goodman</v>
      </c>
      <c r="AS5" s="88">
        <f>'Stage  Entry'!AM15</f>
        <v>0.013668981481481482</v>
      </c>
      <c r="AT5" s="89">
        <f aca="true" t="shared" si="14" ref="AT5:AT10">AQ5+AS5</f>
        <v>0.14837962962962964</v>
      </c>
      <c r="AU5" s="87" t="str">
        <f>'Stage  Entry'!AQ15</f>
        <v>Troy Williams</v>
      </c>
      <c r="AV5" s="88">
        <f>'Stage  Entry'!AR15</f>
        <v>0.014930555555555556</v>
      </c>
      <c r="AW5" s="89">
        <f aca="true" t="shared" si="15" ref="AW5:AW10">AT5+AV5</f>
        <v>0.1633101851851852</v>
      </c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</row>
    <row r="6" spans="1:67" s="34" customFormat="1" ht="19.5" customHeight="1">
      <c r="A6" s="86" t="str">
        <f>'Team Selection'!B5</f>
        <v>Green Machine</v>
      </c>
      <c r="B6" s="87" t="str">
        <f>'Stage  Entry'!H6</f>
        <v>Emma Tinning</v>
      </c>
      <c r="C6" s="88">
        <f>'Stage  Entry'!I6</f>
        <v>0.007361111111111111</v>
      </c>
      <c r="D6" s="89">
        <f t="shared" si="0"/>
        <v>0.007361111111111111</v>
      </c>
      <c r="E6" s="145" t="str">
        <f>'Stage  Entry'!M6</f>
        <v>Steve Miller</v>
      </c>
      <c r="F6" s="146">
        <f>'Stage  Entry'!N6</f>
        <v>0.005740740740740742</v>
      </c>
      <c r="G6" s="147">
        <f t="shared" si="1"/>
        <v>0.013101851851851852</v>
      </c>
      <c r="H6" s="145" t="str">
        <f>'Stage  Entry'!R6</f>
        <v>Rory Heddles</v>
      </c>
      <c r="I6" s="146">
        <f>'Stage  Entry'!S6</f>
        <v>0.005740740740740742</v>
      </c>
      <c r="J6" s="147">
        <f t="shared" si="2"/>
        <v>0.018842592592592595</v>
      </c>
      <c r="K6" s="87" t="str">
        <f>'Stage  Entry'!W6</f>
        <v>David Venour</v>
      </c>
      <c r="L6" s="88">
        <f>'Stage  Entry'!X6</f>
        <v>0.005208333333333333</v>
      </c>
      <c r="M6" s="89">
        <f t="shared" si="3"/>
        <v>0.024050925925925927</v>
      </c>
      <c r="N6" s="87" t="str">
        <f>'Stage  Entry'!AB6</f>
        <v>Emma Tinning</v>
      </c>
      <c r="O6" s="88">
        <f>'Stage  Entry'!AC6</f>
        <v>0.011076388888888887</v>
      </c>
      <c r="P6" s="89">
        <f t="shared" si="4"/>
        <v>0.03512731481481481</v>
      </c>
      <c r="Q6" s="87" t="str">
        <f>'Stage  Entry'!AG6</f>
        <v>Steve Miller</v>
      </c>
      <c r="R6" s="88">
        <f>'Stage  Entry'!AH6</f>
        <v>0.010011574074074074</v>
      </c>
      <c r="S6" s="89">
        <f t="shared" si="5"/>
        <v>0.04513888888888889</v>
      </c>
      <c r="T6" s="87" t="str">
        <f>'Stage  Entry'!AL6</f>
        <v>Rory Heddles</v>
      </c>
      <c r="U6" s="88">
        <f>'Stage  Entry'!AM6</f>
        <v>0.00949074074074074</v>
      </c>
      <c r="V6" s="89">
        <f t="shared" si="6"/>
        <v>0.054629629629629625</v>
      </c>
      <c r="W6" s="87" t="str">
        <f>'Stage  Entry'!AQ6</f>
        <v>David Venour</v>
      </c>
      <c r="X6" s="88">
        <f>'Stage  Entry'!AR6</f>
        <v>0.009930555555555555</v>
      </c>
      <c r="Y6" s="89">
        <f t="shared" si="7"/>
        <v>0.06456018518518518</v>
      </c>
      <c r="Z6" s="87" t="str">
        <f>'Stage  Entry'!H16</f>
        <v>Rory Heddles</v>
      </c>
      <c r="AA6" s="88">
        <f>'Stage  Entry'!I16</f>
        <v>0.01175925925925926</v>
      </c>
      <c r="AB6" s="89">
        <f t="shared" si="8"/>
        <v>0.07631944444444444</v>
      </c>
      <c r="AC6" s="87" t="str">
        <f>'Stage  Entry'!M16</f>
        <v>Emma Tinning</v>
      </c>
      <c r="AD6" s="88">
        <f>'Stage  Entry'!N16</f>
        <v>0.010844907407407407</v>
      </c>
      <c r="AE6" s="89">
        <f t="shared" si="9"/>
        <v>0.08716435185185184</v>
      </c>
      <c r="AF6" s="87" t="str">
        <f>'Stage  Entry'!R16</f>
        <v>Steve Miller</v>
      </c>
      <c r="AG6" s="88">
        <f>'Stage  Entry'!S16</f>
        <v>0.01144675925925926</v>
      </c>
      <c r="AH6" s="89">
        <f t="shared" si="10"/>
        <v>0.0986111111111111</v>
      </c>
      <c r="AI6" s="87" t="str">
        <f>'Stage  Entry'!W16</f>
        <v>Emma Tinning</v>
      </c>
      <c r="AJ6" s="88">
        <f>'Stage  Entry'!X16</f>
        <v>0.008055555555555555</v>
      </c>
      <c r="AK6" s="89">
        <f t="shared" si="11"/>
        <v>0.10666666666666665</v>
      </c>
      <c r="AL6" s="87" t="str">
        <f>'Stage  Entry'!AB16</f>
        <v>David Venour</v>
      </c>
      <c r="AM6" s="88">
        <f>'Stage  Entry'!AC16</f>
        <v>0.011145833333333334</v>
      </c>
      <c r="AN6" s="89">
        <f t="shared" si="12"/>
        <v>0.11781249999999999</v>
      </c>
      <c r="AO6" s="87" t="str">
        <f>'Stage  Entry'!AG16</f>
        <v>Rory Heddles</v>
      </c>
      <c r="AP6" s="88">
        <f>'Stage  Entry'!AH16</f>
        <v>0.011087962962962964</v>
      </c>
      <c r="AQ6" s="89">
        <f t="shared" si="13"/>
        <v>0.12890046296296295</v>
      </c>
      <c r="AR6" s="87" t="str">
        <f>'Stage  Entry'!AL16</f>
        <v>Steve Miller</v>
      </c>
      <c r="AS6" s="88">
        <f>'Stage  Entry'!AM16</f>
        <v>0.013506944444444445</v>
      </c>
      <c r="AT6" s="89">
        <f t="shared" si="14"/>
        <v>0.1424074074074074</v>
      </c>
      <c r="AU6" s="87" t="str">
        <f>'Stage  Entry'!AQ16</f>
        <v>David Venour</v>
      </c>
      <c r="AV6" s="88">
        <f>'Stage  Entry'!AR16</f>
        <v>0.014421296296296295</v>
      </c>
      <c r="AW6" s="89">
        <f t="shared" si="15"/>
        <v>0.1568287037037037</v>
      </c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</row>
    <row r="7" spans="1:67" s="34" customFormat="1" ht="19.5" customHeight="1">
      <c r="A7" s="86" t="str">
        <f>'Team Selection'!B6</f>
        <v>Purple Patch</v>
      </c>
      <c r="B7" s="87" t="str">
        <f>'Stage  Entry'!H7</f>
        <v>Kirsten Jackson</v>
      </c>
      <c r="C7" s="88">
        <f>'Stage  Entry'!I7</f>
        <v>0.006087962962962964</v>
      </c>
      <c r="D7" s="89">
        <f t="shared" si="0"/>
        <v>0.006087962962962964</v>
      </c>
      <c r="E7" s="145" t="str">
        <f>'Stage  Entry'!M7</f>
        <v>Selim Ahmed</v>
      </c>
      <c r="F7" s="146">
        <f>'Stage  Entry'!N7</f>
        <v>0.005625</v>
      </c>
      <c r="G7" s="147">
        <f t="shared" si="1"/>
        <v>0.011712962962962963</v>
      </c>
      <c r="H7" s="145" t="str">
        <f>'Stage  Entry'!R7</f>
        <v>Michael Carney</v>
      </c>
      <c r="I7" s="146">
        <f>'Stage  Entry'!S7</f>
        <v>0.006608796296296297</v>
      </c>
      <c r="J7" s="147">
        <f t="shared" si="2"/>
        <v>0.01832175925925926</v>
      </c>
      <c r="K7" s="87" t="str">
        <f>'Stage  Entry'!W7</f>
        <v>Andrew Coles</v>
      </c>
      <c r="L7" s="88">
        <f>'Stage  Entry'!X7</f>
        <v>0.005138888888888889</v>
      </c>
      <c r="M7" s="89">
        <f t="shared" si="3"/>
        <v>0.023460648148148147</v>
      </c>
      <c r="N7" s="87" t="str">
        <f>'Stage  Entry'!AB7</f>
        <v>Kirsten Jackson</v>
      </c>
      <c r="O7" s="88">
        <f>'Stage  Entry'!AC7</f>
        <v>0.009953703703703704</v>
      </c>
      <c r="P7" s="89">
        <f t="shared" si="4"/>
        <v>0.03341435185185185</v>
      </c>
      <c r="Q7" s="87" t="str">
        <f>'Stage  Entry'!AG7</f>
        <v>Selim Ahmed</v>
      </c>
      <c r="R7" s="88">
        <f>'Stage  Entry'!AH7</f>
        <v>0.010069444444444445</v>
      </c>
      <c r="S7" s="89">
        <f t="shared" si="5"/>
        <v>0.04348379629629629</v>
      </c>
      <c r="T7" s="87" t="str">
        <f>'Stage  Entry'!AL7</f>
        <v>Michael Carney</v>
      </c>
      <c r="U7" s="88">
        <f>'Stage  Entry'!AM7</f>
        <v>0.011111111111111112</v>
      </c>
      <c r="V7" s="89">
        <f t="shared" si="6"/>
        <v>0.054594907407407404</v>
      </c>
      <c r="W7" s="87" t="str">
        <f>'Stage  Entry'!AQ7</f>
        <v>Andrew Coles</v>
      </c>
      <c r="X7" s="88">
        <f>'Stage  Entry'!AR7</f>
        <v>0.009965277777777778</v>
      </c>
      <c r="Y7" s="89">
        <f t="shared" si="7"/>
        <v>0.06456018518518518</v>
      </c>
      <c r="Z7" s="87" t="str">
        <f>'Stage  Entry'!H17</f>
        <v>Andrew Coles</v>
      </c>
      <c r="AA7" s="88">
        <f>'Stage  Entry'!I17</f>
        <v>0.010393518518518519</v>
      </c>
      <c r="AB7" s="89">
        <f t="shared" si="8"/>
        <v>0.0749537037037037</v>
      </c>
      <c r="AC7" s="87" t="str">
        <f>'Stage  Entry'!M17</f>
        <v>Michael Carney</v>
      </c>
      <c r="AD7" s="88">
        <f>'Stage  Entry'!N17</f>
        <v>0.013217592592592593</v>
      </c>
      <c r="AE7" s="89">
        <f t="shared" si="9"/>
        <v>0.0881712962962963</v>
      </c>
      <c r="AF7" s="87" t="str">
        <f>'Stage  Entry'!R17</f>
        <v>Kirsten Jackson</v>
      </c>
      <c r="AG7" s="88">
        <f>'Stage  Entry'!S17</f>
        <v>0.0125</v>
      </c>
      <c r="AH7" s="89">
        <f t="shared" si="10"/>
        <v>0.1006712962962963</v>
      </c>
      <c r="AI7" s="87" t="str">
        <f>'Stage  Entry'!W17</f>
        <v>Michael Carney</v>
      </c>
      <c r="AJ7" s="88">
        <f>'Stage  Entry'!X17</f>
        <v>0.010416666666666666</v>
      </c>
      <c r="AK7" s="89">
        <f t="shared" si="11"/>
        <v>0.11108796296296297</v>
      </c>
      <c r="AL7" s="87" t="str">
        <f>'Stage  Entry'!AB17</f>
        <v>Selim Ahmed</v>
      </c>
      <c r="AM7" s="88">
        <f>'Stage  Entry'!AC17</f>
        <v>0.015601851851851851</v>
      </c>
      <c r="AN7" s="89">
        <f t="shared" si="12"/>
        <v>0.1266898148148148</v>
      </c>
      <c r="AO7" s="87" t="str">
        <f>'Stage  Entry'!AG17</f>
        <v>Kirsten Jackson</v>
      </c>
      <c r="AP7" s="88">
        <f>'Stage  Entry'!AH17</f>
        <v>0.011805555555555555</v>
      </c>
      <c r="AQ7" s="89">
        <f t="shared" si="13"/>
        <v>0.13849537037037035</v>
      </c>
      <c r="AR7" s="87" t="str">
        <f>'Stage  Entry'!AL17</f>
        <v>Selim Ahmed</v>
      </c>
      <c r="AS7" s="88">
        <f>'Stage  Entry'!AM17</f>
        <v>0.014467592592592593</v>
      </c>
      <c r="AT7" s="89">
        <f t="shared" si="14"/>
        <v>0.15296296296296294</v>
      </c>
      <c r="AU7" s="87" t="str">
        <f>'Stage  Entry'!AQ17</f>
        <v>Andrew Coles</v>
      </c>
      <c r="AV7" s="88">
        <f>'Stage  Entry'!AR17</f>
        <v>0.013796296296296298</v>
      </c>
      <c r="AW7" s="89">
        <f t="shared" si="15"/>
        <v>0.16675925925925925</v>
      </c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</row>
    <row r="8" spans="1:67" s="34" customFormat="1" ht="19.5" customHeight="1">
      <c r="A8" s="86" t="str">
        <f>'Team Selection'!B7</f>
        <v>All The Presidents Men</v>
      </c>
      <c r="B8" s="87" t="str">
        <f>'Stage  Entry'!H8</f>
        <v>Gary O'Dwyer</v>
      </c>
      <c r="C8" s="88">
        <f>'Stage  Entry'!I8</f>
        <v>0.006203703703703704</v>
      </c>
      <c r="D8" s="89">
        <f t="shared" si="0"/>
        <v>0.006203703703703704</v>
      </c>
      <c r="E8" s="145" t="str">
        <f>'Stage  Entry'!M8</f>
        <v>Mark Deslandes</v>
      </c>
      <c r="F8" s="146">
        <f>'Stage  Entry'!N8</f>
        <v>0.005439814814814815</v>
      </c>
      <c r="G8" s="147">
        <f t="shared" si="1"/>
        <v>0.011643518518518518</v>
      </c>
      <c r="H8" s="145" t="str">
        <f>'Stage  Entry'!R8</f>
        <v>Hugh Hunter</v>
      </c>
      <c r="I8" s="146">
        <f>'Stage  Entry'!S8</f>
        <v>0.006516203703703704</v>
      </c>
      <c r="J8" s="147">
        <f t="shared" si="2"/>
        <v>0.018159722222222223</v>
      </c>
      <c r="K8" s="87" t="str">
        <f>'Stage  Entry'!W8</f>
        <v>Shane Fielding</v>
      </c>
      <c r="L8" s="88">
        <f>'Stage  Entry'!X8</f>
        <v>0.005277777777777777</v>
      </c>
      <c r="M8" s="89">
        <f t="shared" si="3"/>
        <v>0.0234375</v>
      </c>
      <c r="N8" s="87" t="str">
        <f>'Stage  Entry'!AB8</f>
        <v>Gary O'Dwyer</v>
      </c>
      <c r="O8" s="88">
        <f>'Stage  Entry'!AC8</f>
        <v>0.01005787037037037</v>
      </c>
      <c r="P8" s="89">
        <f t="shared" si="4"/>
        <v>0.03349537037037037</v>
      </c>
      <c r="Q8" s="87" t="str">
        <f>'Stage  Entry'!AG8</f>
        <v>Mark Deslandes</v>
      </c>
      <c r="R8" s="88">
        <f>'Stage  Entry'!AH8</f>
        <v>0.00954861111111111</v>
      </c>
      <c r="S8" s="89">
        <f t="shared" si="5"/>
        <v>0.04304398148148148</v>
      </c>
      <c r="T8" s="87" t="str">
        <f>'Stage  Entry'!AL8</f>
        <v>Hugh Hunter</v>
      </c>
      <c r="U8" s="88">
        <f>'Stage  Entry'!AM8</f>
        <v>0.009884259259259258</v>
      </c>
      <c r="V8" s="89">
        <f t="shared" si="6"/>
        <v>0.05292824074074074</v>
      </c>
      <c r="W8" s="87" t="str">
        <f>'Stage  Entry'!AQ8</f>
        <v>Shane Fielding</v>
      </c>
      <c r="X8" s="88">
        <f>'Stage  Entry'!AR8</f>
        <v>0.010162037037037037</v>
      </c>
      <c r="Y8" s="89">
        <f t="shared" si="7"/>
        <v>0.06309027777777777</v>
      </c>
      <c r="Z8" s="87" t="str">
        <f>'Stage  Entry'!H18</f>
        <v>Gary O'Dwyer</v>
      </c>
      <c r="AA8" s="88">
        <f>'Stage  Entry'!I18</f>
        <v>0.01244212962962963</v>
      </c>
      <c r="AB8" s="89">
        <f t="shared" si="8"/>
        <v>0.07553240740740741</v>
      </c>
      <c r="AC8" s="87" t="str">
        <f>'Stage  Entry'!M18</f>
        <v>Hugh Hunter</v>
      </c>
      <c r="AD8" s="88">
        <f>'Stage  Entry'!N18</f>
        <v>0.009965277777777778</v>
      </c>
      <c r="AE8" s="89">
        <f t="shared" si="9"/>
        <v>0.08549768518518519</v>
      </c>
      <c r="AF8" s="87" t="str">
        <f>'Stage  Entry'!R18</f>
        <v>Mark Deslandes</v>
      </c>
      <c r="AG8" s="88">
        <f>'Stage  Entry'!S18</f>
        <v>0.011157407407407408</v>
      </c>
      <c r="AH8" s="89">
        <f t="shared" si="10"/>
        <v>0.0966550925925926</v>
      </c>
      <c r="AI8" s="87" t="str">
        <f>'Stage  Entry'!W18</f>
        <v>Hugh Hunter</v>
      </c>
      <c r="AJ8" s="88">
        <f>'Stage  Entry'!X18</f>
        <v>0.007395833333333334</v>
      </c>
      <c r="AK8" s="89">
        <f t="shared" si="11"/>
        <v>0.10405092592592594</v>
      </c>
      <c r="AL8" s="87" t="str">
        <f>'Stage  Entry'!AB18</f>
        <v>Shane Fielding</v>
      </c>
      <c r="AM8" s="88">
        <f>'Stage  Entry'!AC18</f>
        <v>0.011296296296296296</v>
      </c>
      <c r="AN8" s="89">
        <f t="shared" si="12"/>
        <v>0.11534722222222223</v>
      </c>
      <c r="AO8" s="87" t="str">
        <f>'Stage  Entry'!AG18</f>
        <v>Gary O'Dwyer</v>
      </c>
      <c r="AP8" s="88">
        <f>'Stage  Entry'!AH18</f>
        <v>0.011481481481481483</v>
      </c>
      <c r="AQ8" s="89">
        <f t="shared" si="13"/>
        <v>0.12682870370370372</v>
      </c>
      <c r="AR8" s="87" t="str">
        <f>'Stage  Entry'!AL18</f>
        <v>Mark Deslandes</v>
      </c>
      <c r="AS8" s="88">
        <f>'Stage  Entry'!AM18</f>
        <v>0.012627314814814815</v>
      </c>
      <c r="AT8" s="89">
        <f t="shared" si="14"/>
        <v>0.13945601851851855</v>
      </c>
      <c r="AU8" s="87" t="str">
        <f>'Stage  Entry'!AQ18</f>
        <v>Shane Fielding</v>
      </c>
      <c r="AV8" s="88">
        <f>'Stage  Entry'!AR18</f>
        <v>0.014571759259259258</v>
      </c>
      <c r="AW8" s="89">
        <f t="shared" si="15"/>
        <v>0.15402777777777782</v>
      </c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</row>
    <row r="9" spans="1:67" s="34" customFormat="1" ht="19.5" customHeight="1">
      <c r="A9" s="86" t="str">
        <f>'Team Selection'!B8</f>
        <v>White Lightening</v>
      </c>
      <c r="B9" s="87" t="str">
        <f>'Stage  Entry'!H9</f>
        <v>Terry Wright</v>
      </c>
      <c r="C9" s="88">
        <f>'Stage  Entry'!I9</f>
        <v>0.006296296296296296</v>
      </c>
      <c r="D9" s="89">
        <f t="shared" si="0"/>
        <v>0.006296296296296296</v>
      </c>
      <c r="E9" s="145" t="str">
        <f>'Stage  Entry'!M9</f>
        <v>Chris Wright</v>
      </c>
      <c r="F9" s="146">
        <f>'Stage  Entry'!N9</f>
        <v>0.005555555555555556</v>
      </c>
      <c r="G9" s="147">
        <f t="shared" si="1"/>
        <v>0.011851851851851853</v>
      </c>
      <c r="H9" s="145" t="str">
        <f>'Stage  Entry'!R9</f>
        <v>John Hand</v>
      </c>
      <c r="I9" s="146">
        <f>'Stage  Entry'!S9</f>
        <v>0.00619212962962963</v>
      </c>
      <c r="J9" s="147">
        <f t="shared" si="2"/>
        <v>0.018043981481481484</v>
      </c>
      <c r="K9" s="87" t="str">
        <f>'Stage  Entry'!W9</f>
        <v>Bruce Arthur</v>
      </c>
      <c r="L9" s="88">
        <f>'Stage  Entry'!X9</f>
        <v>0.005324074074074075</v>
      </c>
      <c r="M9" s="89">
        <f t="shared" si="3"/>
        <v>0.02336805555555556</v>
      </c>
      <c r="N9" s="87" t="str">
        <f>'Stage  Entry'!AB9</f>
        <v>Terry Wright</v>
      </c>
      <c r="O9" s="88">
        <f>'Stage  Entry'!AC9</f>
        <v>0.01025462962962963</v>
      </c>
      <c r="P9" s="89">
        <f t="shared" si="4"/>
        <v>0.033622685185185186</v>
      </c>
      <c r="Q9" s="87" t="str">
        <f>'Stage  Entry'!AG9</f>
        <v>Chris Wright</v>
      </c>
      <c r="R9" s="88">
        <f>'Stage  Entry'!AH9</f>
        <v>0.009814814814814814</v>
      </c>
      <c r="S9" s="89">
        <f t="shared" si="5"/>
        <v>0.043437500000000004</v>
      </c>
      <c r="T9" s="87" t="str">
        <f>'Stage  Entry'!AL9</f>
        <v>John Hand</v>
      </c>
      <c r="U9" s="88">
        <f>'Stage  Entry'!AM9</f>
        <v>0.01037037037037037</v>
      </c>
      <c r="V9" s="89">
        <f t="shared" si="6"/>
        <v>0.053807870370370374</v>
      </c>
      <c r="W9" s="87" t="str">
        <f>'Stage  Entry'!AQ9</f>
        <v>Bruce Arthur</v>
      </c>
      <c r="X9" s="88">
        <f>'Stage  Entry'!AR9</f>
        <v>0.010289351851851852</v>
      </c>
      <c r="Y9" s="89">
        <f t="shared" si="7"/>
        <v>0.06409722222222222</v>
      </c>
      <c r="Z9" s="87" t="str">
        <f>'Stage  Entry'!H19</f>
        <v>Chris Wright</v>
      </c>
      <c r="AA9" s="88">
        <f>'Stage  Entry'!I19</f>
        <v>0.011307870370370371</v>
      </c>
      <c r="AB9" s="89">
        <f t="shared" si="8"/>
        <v>0.07540509259259259</v>
      </c>
      <c r="AC9" s="87" t="str">
        <f>'Stage  Entry'!M19</f>
        <v>John Hand</v>
      </c>
      <c r="AD9" s="88">
        <f>'Stage  Entry'!N19</f>
        <v>0.010300925925925927</v>
      </c>
      <c r="AE9" s="89">
        <f t="shared" si="9"/>
        <v>0.08570601851851851</v>
      </c>
      <c r="AF9" s="87" t="str">
        <f>'Stage  Entry'!R19</f>
        <v>Terry Wright</v>
      </c>
      <c r="AG9" s="88">
        <f>'Stage  Entry'!S19</f>
        <v>0.012453703703703703</v>
      </c>
      <c r="AH9" s="89">
        <f t="shared" si="10"/>
        <v>0.09815972222222222</v>
      </c>
      <c r="AI9" s="87" t="str">
        <f>'Stage  Entry'!W19</f>
        <v>John Hand</v>
      </c>
      <c r="AJ9" s="88">
        <f>'Stage  Entry'!X19</f>
        <v>0.007893518518518518</v>
      </c>
      <c r="AK9" s="89">
        <f t="shared" si="11"/>
        <v>0.10605324074074074</v>
      </c>
      <c r="AL9" s="87" t="str">
        <f>'Stage  Entry'!AB19</f>
        <v>Bruce Arthur</v>
      </c>
      <c r="AM9" s="88">
        <f>'Stage  Entry'!AC19</f>
        <v>0.011423611111111112</v>
      </c>
      <c r="AN9" s="89">
        <f t="shared" si="12"/>
        <v>0.11747685185185185</v>
      </c>
      <c r="AO9" s="87" t="str">
        <f>'Stage  Entry'!AG19</f>
        <v>Terry Wright</v>
      </c>
      <c r="AP9" s="88">
        <f>'Stage  Entry'!AH19</f>
        <v>0.011770833333333333</v>
      </c>
      <c r="AQ9" s="89">
        <f t="shared" si="13"/>
        <v>0.12924768518518517</v>
      </c>
      <c r="AR9" s="87" t="str">
        <f>'Stage  Entry'!AL19</f>
        <v>Chris Wright</v>
      </c>
      <c r="AS9" s="88">
        <f>'Stage  Entry'!AM19</f>
        <v>0.013460648148148147</v>
      </c>
      <c r="AT9" s="89">
        <f t="shared" si="14"/>
        <v>0.14270833333333333</v>
      </c>
      <c r="AU9" s="87" t="str">
        <f>'Stage  Entry'!AQ19</f>
        <v>Bruce Arthur</v>
      </c>
      <c r="AV9" s="88">
        <f>'Stage  Entry'!AR19</f>
        <v>0.014699074074074074</v>
      </c>
      <c r="AW9" s="89">
        <f t="shared" si="15"/>
        <v>0.1574074074074074</v>
      </c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</row>
    <row r="10" spans="1:67" s="34" customFormat="1" ht="19.5" customHeight="1">
      <c r="A10" s="86" t="str">
        <f>'Team Selection'!B9</f>
        <v>Mitho's Fab Four</v>
      </c>
      <c r="B10" s="87" t="str">
        <f>'Stage  Entry'!H10</f>
        <v>Dave Percival</v>
      </c>
      <c r="C10" s="88">
        <f>'Stage  Entry'!I10</f>
        <v>0.006076388888888889</v>
      </c>
      <c r="D10" s="89">
        <f t="shared" si="0"/>
        <v>0.006076388888888889</v>
      </c>
      <c r="E10" s="145" t="str">
        <f>'Stage  Entry'!M10</f>
        <v>Simon Duffy</v>
      </c>
      <c r="F10" s="146">
        <f>'Stage  Entry'!N10</f>
        <v>0.005451388888888888</v>
      </c>
      <c r="G10" s="147">
        <f t="shared" si="1"/>
        <v>0.011527777777777777</v>
      </c>
      <c r="H10" s="145" t="str">
        <f>'Stage  Entry'!R10</f>
        <v>Yin Kuan Ho</v>
      </c>
      <c r="I10" s="146">
        <f>'Stage  Entry'!S10</f>
        <v>0.006701388888888889</v>
      </c>
      <c r="J10" s="147">
        <f t="shared" si="2"/>
        <v>0.018229166666666664</v>
      </c>
      <c r="K10" s="87" t="str">
        <f>'Stage  Entry'!W10</f>
        <v>Anthony Mithen</v>
      </c>
      <c r="L10" s="88">
        <f>'Stage  Entry'!X10</f>
        <v>0.005335648148148148</v>
      </c>
      <c r="M10" s="89">
        <f t="shared" si="3"/>
        <v>0.023564814814814813</v>
      </c>
      <c r="N10" s="87" t="str">
        <f>'Stage  Entry'!AB10</f>
        <v>Dave Percival</v>
      </c>
      <c r="O10" s="88">
        <f>'Stage  Entry'!AC10</f>
        <v>0.009907407407407408</v>
      </c>
      <c r="P10" s="89">
        <f t="shared" si="4"/>
        <v>0.03347222222222222</v>
      </c>
      <c r="Q10" s="87" t="str">
        <f>'Stage  Entry'!AG10</f>
        <v>Simon Duffy</v>
      </c>
      <c r="R10" s="88">
        <f>'Stage  Entry'!AH10</f>
        <v>0.0096875</v>
      </c>
      <c r="S10" s="89">
        <f t="shared" si="5"/>
        <v>0.043159722222222224</v>
      </c>
      <c r="T10" s="87" t="str">
        <f>'Stage  Entry'!AL10</f>
        <v>Yin Kuan Ho</v>
      </c>
      <c r="U10" s="88">
        <f>'Stage  Entry'!AM10</f>
        <v>0.010833333333333334</v>
      </c>
      <c r="V10" s="89">
        <f t="shared" si="6"/>
        <v>0.05399305555555556</v>
      </c>
      <c r="W10" s="87" t="str">
        <f>'Stage  Entry'!AQ10</f>
        <v>Anthony Mithen</v>
      </c>
      <c r="X10" s="88">
        <f>'Stage  Entry'!AR10</f>
        <v>0.010439814814814813</v>
      </c>
      <c r="Y10" s="89">
        <f t="shared" si="7"/>
        <v>0.06443287037037038</v>
      </c>
      <c r="Z10" s="87" t="str">
        <f>'Stage  Entry'!H20</f>
        <v>Simon Duffy</v>
      </c>
      <c r="AA10" s="88">
        <f>'Stage  Entry'!I20</f>
        <v>0.011122685185185185</v>
      </c>
      <c r="AB10" s="89">
        <f t="shared" si="8"/>
        <v>0.07555555555555556</v>
      </c>
      <c r="AC10" s="87" t="str">
        <f>'Stage  Entry'!M20</f>
        <v>Yin Kuan Ho</v>
      </c>
      <c r="AD10" s="88">
        <f>'Stage  Entry'!N20</f>
        <v>0.010520833333333333</v>
      </c>
      <c r="AE10" s="89">
        <f t="shared" si="9"/>
        <v>0.08607638888888888</v>
      </c>
      <c r="AF10" s="87" t="str">
        <f>'Stage  Entry'!R20</f>
        <v>Dave Percival</v>
      </c>
      <c r="AG10" s="88">
        <f>'Stage  Entry'!S20</f>
        <v>0.012013888888888888</v>
      </c>
      <c r="AH10" s="89">
        <f t="shared" si="10"/>
        <v>0.09809027777777778</v>
      </c>
      <c r="AI10" s="87" t="str">
        <f>'Stage  Entry'!W20</f>
        <v>Yin Kuan Ho</v>
      </c>
      <c r="AJ10" s="88">
        <f>'Stage  Entry'!X20</f>
        <v>0.00835648148148148</v>
      </c>
      <c r="AK10" s="89">
        <f t="shared" si="11"/>
        <v>0.10644675925925925</v>
      </c>
      <c r="AL10" s="87" t="str">
        <f>'Stage  Entry'!AB20</f>
        <v>Anthony Mithen</v>
      </c>
      <c r="AM10" s="88">
        <f>'Stage  Entry'!AC20</f>
        <v>0.011666666666666667</v>
      </c>
      <c r="AN10" s="89">
        <f t="shared" si="12"/>
        <v>0.11811342592592593</v>
      </c>
      <c r="AO10" s="87" t="str">
        <f>'Stage  Entry'!AG20</f>
        <v>Dave Percival</v>
      </c>
      <c r="AP10" s="88">
        <f>'Stage  Entry'!AH20</f>
        <v>0.011458333333333334</v>
      </c>
      <c r="AQ10" s="89">
        <f t="shared" si="13"/>
        <v>0.12957175925925926</v>
      </c>
      <c r="AR10" s="87" t="str">
        <f>'Stage  Entry'!AL20</f>
        <v>Simon Duffy</v>
      </c>
      <c r="AS10" s="88">
        <f>'Stage  Entry'!AM20</f>
        <v>0.014525462962962964</v>
      </c>
      <c r="AT10" s="89">
        <f t="shared" si="14"/>
        <v>0.14409722222222224</v>
      </c>
      <c r="AU10" s="87" t="str">
        <f>'Stage  Entry'!AQ20</f>
        <v>Anthony Mithen</v>
      </c>
      <c r="AV10" s="88">
        <f>'Stage  Entry'!AR20</f>
        <v>0.015752314814814813</v>
      </c>
      <c r="AW10" s="89">
        <f t="shared" si="15"/>
        <v>0.15984953703703705</v>
      </c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</row>
    <row r="12" spans="2:67" s="103" customFormat="1" ht="12.75">
      <c r="B12" s="104"/>
      <c r="C12" s="105" t="s">
        <v>43</v>
      </c>
      <c r="D12" s="106" t="s">
        <v>42</v>
      </c>
      <c r="E12" s="148"/>
      <c r="F12" s="149" t="s">
        <v>43</v>
      </c>
      <c r="G12" s="150" t="s">
        <v>42</v>
      </c>
      <c r="H12" s="148"/>
      <c r="I12" s="149" t="s">
        <v>43</v>
      </c>
      <c r="J12" s="150" t="s">
        <v>42</v>
      </c>
      <c r="K12" s="104"/>
      <c r="L12" s="105" t="s">
        <v>43</v>
      </c>
      <c r="M12" s="106" t="s">
        <v>42</v>
      </c>
      <c r="N12" s="104"/>
      <c r="O12" s="105" t="s">
        <v>43</v>
      </c>
      <c r="P12" s="106" t="s">
        <v>42</v>
      </c>
      <c r="Q12" s="104"/>
      <c r="R12" s="105" t="s">
        <v>43</v>
      </c>
      <c r="S12" s="106" t="s">
        <v>42</v>
      </c>
      <c r="T12" s="104"/>
      <c r="U12" s="105" t="s">
        <v>43</v>
      </c>
      <c r="V12" s="106" t="s">
        <v>42</v>
      </c>
      <c r="W12" s="104"/>
      <c r="X12" s="105" t="s">
        <v>43</v>
      </c>
      <c r="Y12" s="106" t="s">
        <v>42</v>
      </c>
      <c r="Z12" s="104"/>
      <c r="AA12" s="105" t="s">
        <v>43</v>
      </c>
      <c r="AB12" s="106" t="s">
        <v>42</v>
      </c>
      <c r="AC12" s="104"/>
      <c r="AD12" s="105" t="s">
        <v>43</v>
      </c>
      <c r="AE12" s="106" t="s">
        <v>42</v>
      </c>
      <c r="AF12" s="104"/>
      <c r="AG12" s="105" t="s">
        <v>43</v>
      </c>
      <c r="AH12" s="106" t="s">
        <v>42</v>
      </c>
      <c r="AI12" s="104"/>
      <c r="AJ12" s="105" t="s">
        <v>43</v>
      </c>
      <c r="AK12" s="106" t="s">
        <v>42</v>
      </c>
      <c r="AL12" s="104"/>
      <c r="AM12" s="105" t="s">
        <v>43</v>
      </c>
      <c r="AN12" s="106" t="s">
        <v>42</v>
      </c>
      <c r="AO12" s="104"/>
      <c r="AP12" s="105" t="s">
        <v>43</v>
      </c>
      <c r="AQ12" s="106" t="s">
        <v>42</v>
      </c>
      <c r="AR12" s="104"/>
      <c r="AS12" s="105" t="s">
        <v>43</v>
      </c>
      <c r="AT12" s="106" t="s">
        <v>42</v>
      </c>
      <c r="AU12" s="104"/>
      <c r="AV12" s="105" t="s">
        <v>43</v>
      </c>
      <c r="AW12" s="106" t="s">
        <v>42</v>
      </c>
      <c r="AX12" s="109"/>
      <c r="AY12" s="110" t="s">
        <v>0</v>
      </c>
      <c r="AZ12" s="111">
        <v>1</v>
      </c>
      <c r="BA12" s="111">
        <v>2</v>
      </c>
      <c r="BB12" s="111">
        <v>3</v>
      </c>
      <c r="BC12" s="111">
        <v>4</v>
      </c>
      <c r="BD12" s="111">
        <v>5</v>
      </c>
      <c r="BE12" s="111">
        <v>6</v>
      </c>
      <c r="BF12" s="111">
        <v>7</v>
      </c>
      <c r="BG12" s="111">
        <v>8</v>
      </c>
      <c r="BH12" s="111">
        <v>9</v>
      </c>
      <c r="BI12" s="111">
        <v>10</v>
      </c>
      <c r="BJ12" s="111">
        <v>11</v>
      </c>
      <c r="BK12" s="111">
        <v>12</v>
      </c>
      <c r="BL12" s="111">
        <v>13</v>
      </c>
      <c r="BM12" s="111">
        <v>14</v>
      </c>
      <c r="BN12" s="111">
        <v>15</v>
      </c>
      <c r="BO12" s="111">
        <v>16</v>
      </c>
    </row>
    <row r="13" spans="3:67" ht="12.75">
      <c r="C13" s="101">
        <f aca="true" t="shared" si="16" ref="C13:C19">RANK(D4,D$4:D$10,1)</f>
        <v>1</v>
      </c>
      <c r="D13" s="102">
        <f aca="true" t="shared" si="17" ref="D13:D19">D4-MIN(D$4,D$5,D$6,D$7,D$8,D$9,D$10)</f>
        <v>0</v>
      </c>
      <c r="F13" s="101">
        <f aca="true" t="shared" si="18" ref="F13:F19">RANK(G4,G$4:G$10,1)</f>
        <v>1</v>
      </c>
      <c r="G13" s="102">
        <f aca="true" t="shared" si="19" ref="G13:G19">G4-MIN(G$4,G$5,G$6,G$7,G$8,G$9,G$10)</f>
        <v>0</v>
      </c>
      <c r="I13" s="101">
        <f aca="true" t="shared" si="20" ref="I13:I19">RANK(J4,J$4:J$10,1)</f>
        <v>5</v>
      </c>
      <c r="J13" s="102">
        <f aca="true" t="shared" si="21" ref="J13:J19">J4-MIN(J$4,J$5,J$6,J$7,J$8,J$9,J$10)</f>
        <v>0.0005671296296296292</v>
      </c>
      <c r="L13" s="101">
        <f aca="true" t="shared" si="22" ref="L13:L19">RANK(M4,M$4:M$10,1)</f>
        <v>2</v>
      </c>
      <c r="M13" s="102">
        <f aca="true" t="shared" si="23" ref="M13:M19">M4-MIN(M$4,M$5,M$6,M$7,M$8,M$9,M$10)</f>
        <v>5.787037037036785E-05</v>
      </c>
      <c r="O13" s="101">
        <f aca="true" t="shared" si="24" ref="O13:O19">RANK(P4,P$4:P$10,1)</f>
        <v>1</v>
      </c>
      <c r="P13" s="102">
        <f aca="true" t="shared" si="25" ref="P13:P19">P4-MIN(P$4,P$5,P$6,P$7,P$8,P$9,P$10)</f>
        <v>0</v>
      </c>
      <c r="R13" s="101">
        <f aca="true" t="shared" si="26" ref="R13:R19">RANK(S4,S$4:S$10,1)</f>
        <v>1</v>
      </c>
      <c r="S13" s="102">
        <f aca="true" t="shared" si="27" ref="S13:S19">S4-MIN(S$4,S$5,S$6,S$7,S$8,S$9,S$10)</f>
        <v>0</v>
      </c>
      <c r="U13" s="101">
        <f aca="true" t="shared" si="28" ref="U13:U19">RANK(V4,V$4:V$10,1)</f>
        <v>4</v>
      </c>
      <c r="V13" s="102">
        <f aca="true" t="shared" si="29" ref="V13:V19">V4-MIN(V$4,V$5,V$6,V$7,V$8,V$9,V$10)</f>
        <v>0.0015509259259259278</v>
      </c>
      <c r="X13" s="101">
        <f aca="true" t="shared" si="30" ref="X13:X19">RANK(Y4,Y$4:Y$10,1)</f>
        <v>2</v>
      </c>
      <c r="Y13" s="102">
        <f aca="true" t="shared" si="31" ref="Y13:Y19">Y4-MIN(Y$4,Y$5,Y$6,Y$7,Y$8,Y$9,Y$10)</f>
        <v>0.0007291666666666696</v>
      </c>
      <c r="AA13" s="101">
        <f aca="true" t="shared" si="32" ref="AA13:AA19">RANK(AB4,AB$4:AB$10,1)</f>
        <v>3</v>
      </c>
      <c r="AB13" s="102">
        <f aca="true" t="shared" si="33" ref="AB13:AB19">AB4-MIN(AB$4,AB$5,AB$6,AB$7,AB$8,AB$9,AB$10)</f>
        <v>0.0005555555555555591</v>
      </c>
      <c r="AD13" s="101">
        <f aca="true" t="shared" si="34" ref="AD13:AD19">RANK(AE4,AE$4:AE$10,1)</f>
        <v>4</v>
      </c>
      <c r="AE13" s="102">
        <f aca="true" t="shared" si="35" ref="AE13:AE19">AE4-MIN(AE$4,AE$5,AE$6,AE$7,AE$8,AE$9,AE$10)</f>
        <v>0.000879629629629633</v>
      </c>
      <c r="AG13" s="101">
        <f aca="true" t="shared" si="36" ref="AG13:AG19">RANK(AH4,AH$4:AH$10,1)</f>
        <v>2</v>
      </c>
      <c r="AH13" s="102">
        <f aca="true" t="shared" si="37" ref="AH13:AH19">AH4-MIN(AH$4,AH$5,AH$6,AH$7,AH$8,AH$9,AH$10)</f>
        <v>0.001145833333333332</v>
      </c>
      <c r="AJ13" s="101">
        <f aca="true" t="shared" si="38" ref="AJ13:AJ19">RANK(AK4,AK$4:AK$10,1)</f>
        <v>3</v>
      </c>
      <c r="AK13" s="102">
        <f aca="true" t="shared" si="39" ref="AK13:AK19">AK4-MIN(AK$4,AK$5,AK$6,AK$7,AK$8,AK$9,AK$10)</f>
        <v>0.0021412037037037007</v>
      </c>
      <c r="AM13" s="101">
        <f aca="true" t="shared" si="40" ref="AM13:AM19">RANK(AN4,AN$4:AN$10,1)</f>
        <v>2</v>
      </c>
      <c r="AN13" s="102">
        <f aca="true" t="shared" si="41" ref="AN13:AN18">AN4-MIN(AN$4,AN$5,AN$6,AN$7,AN$8,AN$9,AN$10)</f>
        <v>0.0012731481481481483</v>
      </c>
      <c r="AP13" s="101">
        <f aca="true" t="shared" si="42" ref="AP13:AP19">RANK(AQ4,AQ$4:AQ$10,1)</f>
        <v>2</v>
      </c>
      <c r="AQ13" s="102">
        <f aca="true" t="shared" si="43" ref="AQ13:AQ19">AQ4-MIN(AQ$4,AQ$5,AQ$6,AQ$7,AQ$8,AQ$9,AQ$10)</f>
        <v>0.0006481481481481477</v>
      </c>
      <c r="AS13" s="101">
        <f aca="true" t="shared" si="44" ref="AS13:AS19">RANK(AT4,AT$4:AT$10,1)</f>
        <v>2</v>
      </c>
      <c r="AT13" s="102">
        <f aca="true" t="shared" si="45" ref="AT13:AT19">AT4-MIN(AT$4,AT$5,AT$6,AT$7,AT$8,AT$9,AT$10)</f>
        <v>0.0013194444444444287</v>
      </c>
      <c r="AV13" s="101">
        <f aca="true" t="shared" si="46" ref="AV13:AV19">RANK(AW4,AW$4:AW$10,1)</f>
        <v>1</v>
      </c>
      <c r="AW13" s="102">
        <f aca="true" t="shared" si="47" ref="AW13:AW19">AW4-MIN(AW$4,AW$5,AW$6,AW$7,AW$8,AW$9,AW$10)</f>
        <v>0</v>
      </c>
      <c r="AX13" s="112"/>
      <c r="AY13" s="113" t="str">
        <f aca="true" t="shared" si="48" ref="AY13:AY19">A4</f>
        <v>A Wookie &amp; 4 Ewoks</v>
      </c>
      <c r="AZ13" s="114">
        <f aca="true" t="shared" si="49" ref="AZ13:AZ19">D13</f>
        <v>0</v>
      </c>
      <c r="BA13" s="114">
        <f aca="true" t="shared" si="50" ref="BA13:BA19">G13</f>
        <v>0</v>
      </c>
      <c r="BB13" s="114">
        <f aca="true" t="shared" si="51" ref="BB13:BB19">J13</f>
        <v>0.0005671296296296292</v>
      </c>
      <c r="BC13" s="114">
        <f aca="true" t="shared" si="52" ref="BC13:BC19">M13</f>
        <v>5.787037037036785E-05</v>
      </c>
      <c r="BD13" s="114">
        <f aca="true" t="shared" si="53" ref="BD13:BD19">P13</f>
        <v>0</v>
      </c>
      <c r="BE13" s="114">
        <f aca="true" t="shared" si="54" ref="BE13:BE19">S13</f>
        <v>0</v>
      </c>
      <c r="BF13" s="114">
        <f aca="true" t="shared" si="55" ref="BF13:BF19">V13</f>
        <v>0.0015509259259259278</v>
      </c>
      <c r="BG13" s="114">
        <f aca="true" t="shared" si="56" ref="BG13:BG19">Y13</f>
        <v>0.0007291666666666696</v>
      </c>
      <c r="BH13" s="114">
        <f aca="true" t="shared" si="57" ref="BH13:BH19">AB13</f>
        <v>0.0005555555555555591</v>
      </c>
      <c r="BI13" s="114">
        <f aca="true" t="shared" si="58" ref="BI13:BI19">AE13</f>
        <v>0.000879629629629633</v>
      </c>
      <c r="BJ13" s="114">
        <f aca="true" t="shared" si="59" ref="BJ13:BJ19">AH13</f>
        <v>0.001145833333333332</v>
      </c>
      <c r="BK13" s="114">
        <f aca="true" t="shared" si="60" ref="BK13:BK19">AK13</f>
        <v>0.0021412037037037007</v>
      </c>
      <c r="BL13" s="114">
        <f aca="true" t="shared" si="61" ref="BL13:BL19">AN13</f>
        <v>0.0012731481481481483</v>
      </c>
      <c r="BM13" s="114">
        <f aca="true" t="shared" si="62" ref="BM13:BM19">AQ13</f>
        <v>0.0006481481481481477</v>
      </c>
      <c r="BN13" s="114">
        <f aca="true" t="shared" si="63" ref="BN13:BN19">AT13</f>
        <v>0.0013194444444444287</v>
      </c>
      <c r="BO13" s="114">
        <f aca="true" t="shared" si="64" ref="BO13:BO19">AW13</f>
        <v>0</v>
      </c>
    </row>
    <row r="14" spans="3:67" ht="12.75">
      <c r="C14" s="101">
        <f t="shared" si="16"/>
        <v>7</v>
      </c>
      <c r="D14" s="102">
        <f t="shared" si="17"/>
        <v>0.0017245370370370374</v>
      </c>
      <c r="F14" s="101">
        <f t="shared" si="18"/>
        <v>7</v>
      </c>
      <c r="G14" s="102">
        <f t="shared" si="19"/>
        <v>0.0019097222222222224</v>
      </c>
      <c r="I14" s="101">
        <f t="shared" si="20"/>
        <v>7</v>
      </c>
      <c r="J14" s="102">
        <f t="shared" si="21"/>
        <v>0.0014120370370370346</v>
      </c>
      <c r="L14" s="101">
        <f t="shared" si="22"/>
        <v>7</v>
      </c>
      <c r="M14" s="102">
        <f t="shared" si="23"/>
        <v>0.0013078703703703655</v>
      </c>
      <c r="O14" s="101">
        <f t="shared" si="24"/>
        <v>7</v>
      </c>
      <c r="P14" s="102">
        <f t="shared" si="25"/>
        <v>0.003865740740740739</v>
      </c>
      <c r="R14" s="101">
        <f t="shared" si="26"/>
        <v>7</v>
      </c>
      <c r="S14" s="102">
        <f t="shared" si="27"/>
        <v>0.004027777777777776</v>
      </c>
      <c r="U14" s="101">
        <f t="shared" si="28"/>
        <v>7</v>
      </c>
      <c r="V14" s="102">
        <f t="shared" si="29"/>
        <v>0.00407407407407407</v>
      </c>
      <c r="X14" s="101">
        <f t="shared" si="30"/>
        <v>7</v>
      </c>
      <c r="Y14" s="102">
        <f t="shared" si="31"/>
        <v>0.003981481481481489</v>
      </c>
      <c r="AA14" s="101">
        <f t="shared" si="32"/>
        <v>7</v>
      </c>
      <c r="AB14" s="102">
        <f t="shared" si="33"/>
        <v>0.004085648148148144</v>
      </c>
      <c r="AD14" s="101">
        <f t="shared" si="34"/>
        <v>7</v>
      </c>
      <c r="AE14" s="102">
        <f t="shared" si="35"/>
        <v>0.005196759259259248</v>
      </c>
      <c r="AG14" s="101">
        <f t="shared" si="36"/>
        <v>7</v>
      </c>
      <c r="AH14" s="102">
        <f t="shared" si="37"/>
        <v>0.005752314814814807</v>
      </c>
      <c r="AJ14" s="101">
        <f t="shared" si="38"/>
        <v>7</v>
      </c>
      <c r="AK14" s="102">
        <f t="shared" si="39"/>
        <v>0.007546296296296287</v>
      </c>
      <c r="AM14" s="101">
        <f t="shared" si="40"/>
        <v>6</v>
      </c>
      <c r="AN14" s="102">
        <f t="shared" si="41"/>
        <v>0.00753472222222222</v>
      </c>
      <c r="AP14" s="101">
        <f t="shared" si="42"/>
        <v>6</v>
      </c>
      <c r="AQ14" s="102">
        <f t="shared" si="43"/>
        <v>0.007881944444444428</v>
      </c>
      <c r="AS14" s="101">
        <f t="shared" si="44"/>
        <v>6</v>
      </c>
      <c r="AT14" s="102">
        <f t="shared" si="45"/>
        <v>0.00892361111111109</v>
      </c>
      <c r="AV14" s="101">
        <f t="shared" si="46"/>
        <v>6</v>
      </c>
      <c r="AW14" s="102">
        <f t="shared" si="47"/>
        <v>0.009548611111111105</v>
      </c>
      <c r="AX14" s="112"/>
      <c r="AY14" s="113" t="str">
        <f t="shared" si="48"/>
        <v>Troys Terrors</v>
      </c>
      <c r="AZ14" s="114">
        <f t="shared" si="49"/>
        <v>0.0017245370370370374</v>
      </c>
      <c r="BA14" s="114">
        <f t="shared" si="50"/>
        <v>0.0019097222222222224</v>
      </c>
      <c r="BB14" s="114">
        <f t="shared" si="51"/>
        <v>0.0014120370370370346</v>
      </c>
      <c r="BC14" s="114">
        <f t="shared" si="52"/>
        <v>0.0013078703703703655</v>
      </c>
      <c r="BD14" s="114">
        <f t="shared" si="53"/>
        <v>0.003865740740740739</v>
      </c>
      <c r="BE14" s="114">
        <f t="shared" si="54"/>
        <v>0.004027777777777776</v>
      </c>
      <c r="BF14" s="114">
        <f t="shared" si="55"/>
        <v>0.00407407407407407</v>
      </c>
      <c r="BG14" s="114">
        <f t="shared" si="56"/>
        <v>0.003981481481481489</v>
      </c>
      <c r="BH14" s="114">
        <f t="shared" si="57"/>
        <v>0.004085648148148144</v>
      </c>
      <c r="BI14" s="114">
        <f t="shared" si="58"/>
        <v>0.005196759259259248</v>
      </c>
      <c r="BJ14" s="114">
        <f t="shared" si="59"/>
        <v>0.005752314814814807</v>
      </c>
      <c r="BK14" s="114">
        <f t="shared" si="60"/>
        <v>0.007546296296296287</v>
      </c>
      <c r="BL14" s="114">
        <f t="shared" si="61"/>
        <v>0.00753472222222222</v>
      </c>
      <c r="BM14" s="114">
        <f t="shared" si="62"/>
        <v>0.007881944444444428</v>
      </c>
      <c r="BN14" s="114">
        <f t="shared" si="63"/>
        <v>0.00892361111111109</v>
      </c>
      <c r="BO14" s="114">
        <f t="shared" si="64"/>
        <v>0.009548611111111105</v>
      </c>
    </row>
    <row r="15" spans="3:67" ht="12.75">
      <c r="C15" s="101">
        <f t="shared" si="16"/>
        <v>6</v>
      </c>
      <c r="D15" s="102">
        <f t="shared" si="17"/>
        <v>0.0015856481481481485</v>
      </c>
      <c r="F15" s="101">
        <f t="shared" si="18"/>
        <v>6</v>
      </c>
      <c r="G15" s="102">
        <f t="shared" si="19"/>
        <v>0.001620370370370371</v>
      </c>
      <c r="I15" s="101">
        <f t="shared" si="20"/>
        <v>6</v>
      </c>
      <c r="J15" s="102">
        <f t="shared" si="21"/>
        <v>0.000798611111111111</v>
      </c>
      <c r="L15" s="101">
        <f t="shared" si="22"/>
        <v>6</v>
      </c>
      <c r="M15" s="102">
        <f t="shared" si="23"/>
        <v>0.0006828703703703684</v>
      </c>
      <c r="O15" s="101">
        <f t="shared" si="24"/>
        <v>6</v>
      </c>
      <c r="P15" s="102">
        <f t="shared" si="25"/>
        <v>0.0021527777777777743</v>
      </c>
      <c r="R15" s="101">
        <f t="shared" si="26"/>
        <v>6</v>
      </c>
      <c r="S15" s="102">
        <f t="shared" si="27"/>
        <v>0.00210648148148148</v>
      </c>
      <c r="U15" s="101">
        <f t="shared" si="28"/>
        <v>6</v>
      </c>
      <c r="V15" s="102">
        <f t="shared" si="29"/>
        <v>0.0017013888888888842</v>
      </c>
      <c r="X15" s="101">
        <f t="shared" si="30"/>
        <v>5</v>
      </c>
      <c r="Y15" s="102">
        <f t="shared" si="31"/>
        <v>0.0014699074074074059</v>
      </c>
      <c r="AA15" s="101">
        <f t="shared" si="32"/>
        <v>6</v>
      </c>
      <c r="AB15" s="102">
        <f t="shared" si="33"/>
        <v>0.0013657407407407368</v>
      </c>
      <c r="AD15" s="101">
        <f t="shared" si="34"/>
        <v>5</v>
      </c>
      <c r="AE15" s="102">
        <f t="shared" si="35"/>
        <v>0.0016666666666666496</v>
      </c>
      <c r="AG15" s="101">
        <f t="shared" si="36"/>
        <v>5</v>
      </c>
      <c r="AH15" s="102">
        <f t="shared" si="37"/>
        <v>0.001956018518518496</v>
      </c>
      <c r="AJ15" s="101">
        <f t="shared" si="38"/>
        <v>5</v>
      </c>
      <c r="AK15" s="102">
        <f t="shared" si="39"/>
        <v>0.00261574074074071</v>
      </c>
      <c r="AM15" s="101">
        <f t="shared" si="40"/>
        <v>4</v>
      </c>
      <c r="AN15" s="102">
        <f t="shared" si="41"/>
        <v>0.0024652777777777607</v>
      </c>
      <c r="AP15" s="101">
        <f t="shared" si="42"/>
        <v>3</v>
      </c>
      <c r="AQ15" s="102">
        <f t="shared" si="43"/>
        <v>0.0020717592592592315</v>
      </c>
      <c r="AS15" s="101">
        <f t="shared" si="44"/>
        <v>3</v>
      </c>
      <c r="AT15" s="102">
        <f t="shared" si="45"/>
        <v>0.0029513888888888506</v>
      </c>
      <c r="AV15" s="101">
        <f t="shared" si="46"/>
        <v>3</v>
      </c>
      <c r="AW15" s="102">
        <f t="shared" si="47"/>
        <v>0.0030671296296296002</v>
      </c>
      <c r="AX15" s="112"/>
      <c r="AY15" s="113" t="str">
        <f t="shared" si="48"/>
        <v>Green Machine</v>
      </c>
      <c r="AZ15" s="114">
        <f t="shared" si="49"/>
        <v>0.0015856481481481485</v>
      </c>
      <c r="BA15" s="114">
        <f t="shared" si="50"/>
        <v>0.001620370370370371</v>
      </c>
      <c r="BB15" s="114">
        <f t="shared" si="51"/>
        <v>0.000798611111111111</v>
      </c>
      <c r="BC15" s="114">
        <f t="shared" si="52"/>
        <v>0.0006828703703703684</v>
      </c>
      <c r="BD15" s="114">
        <f t="shared" si="53"/>
        <v>0.0021527777777777743</v>
      </c>
      <c r="BE15" s="114">
        <f t="shared" si="54"/>
        <v>0.00210648148148148</v>
      </c>
      <c r="BF15" s="114">
        <f t="shared" si="55"/>
        <v>0.0017013888888888842</v>
      </c>
      <c r="BG15" s="114">
        <f t="shared" si="56"/>
        <v>0.0014699074074074059</v>
      </c>
      <c r="BH15" s="114">
        <f t="shared" si="57"/>
        <v>0.0013657407407407368</v>
      </c>
      <c r="BI15" s="114">
        <f t="shared" si="58"/>
        <v>0.0016666666666666496</v>
      </c>
      <c r="BJ15" s="114">
        <f t="shared" si="59"/>
        <v>0.001956018518518496</v>
      </c>
      <c r="BK15" s="114">
        <f t="shared" si="60"/>
        <v>0.00261574074074071</v>
      </c>
      <c r="BL15" s="114">
        <f t="shared" si="61"/>
        <v>0.0024652777777777607</v>
      </c>
      <c r="BM15" s="114">
        <f t="shared" si="62"/>
        <v>0.0020717592592592315</v>
      </c>
      <c r="BN15" s="114">
        <f t="shared" si="63"/>
        <v>0.0029513888888888506</v>
      </c>
      <c r="BO15" s="114">
        <f t="shared" si="64"/>
        <v>0.0030671296296296002</v>
      </c>
    </row>
    <row r="16" spans="3:67" ht="12.75">
      <c r="C16" s="101">
        <f t="shared" si="16"/>
        <v>3</v>
      </c>
      <c r="D16" s="102">
        <f t="shared" si="17"/>
        <v>0.000312500000000002</v>
      </c>
      <c r="F16" s="101">
        <f t="shared" si="18"/>
        <v>4</v>
      </c>
      <c r="G16" s="102">
        <f t="shared" si="19"/>
        <v>0.00023148148148148182</v>
      </c>
      <c r="I16" s="101">
        <f t="shared" si="20"/>
        <v>4</v>
      </c>
      <c r="J16" s="102">
        <f t="shared" si="21"/>
        <v>0.0002777777777777761</v>
      </c>
      <c r="L16" s="101">
        <f t="shared" si="22"/>
        <v>4</v>
      </c>
      <c r="M16" s="102">
        <f t="shared" si="23"/>
        <v>9.259259259258856E-05</v>
      </c>
      <c r="O16" s="101">
        <f t="shared" si="24"/>
        <v>2</v>
      </c>
      <c r="P16" s="102">
        <f t="shared" si="25"/>
        <v>0.00043981481481480955</v>
      </c>
      <c r="R16" s="101">
        <f t="shared" si="26"/>
        <v>5</v>
      </c>
      <c r="S16" s="102">
        <f t="shared" si="27"/>
        <v>0.0004513888888888831</v>
      </c>
      <c r="U16" s="101">
        <f t="shared" si="28"/>
        <v>5</v>
      </c>
      <c r="V16" s="102">
        <f t="shared" si="29"/>
        <v>0.0016666666666666635</v>
      </c>
      <c r="X16" s="101">
        <f t="shared" si="30"/>
        <v>5</v>
      </c>
      <c r="Y16" s="102">
        <f t="shared" si="31"/>
        <v>0.0014699074074074059</v>
      </c>
      <c r="AA16" s="101">
        <f t="shared" si="32"/>
        <v>1</v>
      </c>
      <c r="AB16" s="102">
        <f t="shared" si="33"/>
        <v>0</v>
      </c>
      <c r="AD16" s="101">
        <f t="shared" si="34"/>
        <v>6</v>
      </c>
      <c r="AE16" s="102">
        <f t="shared" si="35"/>
        <v>0.0026736111111111127</v>
      </c>
      <c r="AG16" s="101">
        <f t="shared" si="36"/>
        <v>6</v>
      </c>
      <c r="AH16" s="102">
        <f t="shared" si="37"/>
        <v>0.004016203703703702</v>
      </c>
      <c r="AJ16" s="101">
        <f t="shared" si="38"/>
        <v>6</v>
      </c>
      <c r="AK16" s="102">
        <f t="shared" si="39"/>
        <v>0.007037037037037036</v>
      </c>
      <c r="AM16" s="101">
        <f t="shared" si="40"/>
        <v>7</v>
      </c>
      <c r="AN16" s="102">
        <f t="shared" si="41"/>
        <v>0.011342592592592585</v>
      </c>
      <c r="AP16" s="101">
        <f t="shared" si="42"/>
        <v>7</v>
      </c>
      <c r="AQ16" s="102">
        <f t="shared" si="43"/>
        <v>0.01166666666666663</v>
      </c>
      <c r="AS16" s="101">
        <f t="shared" si="44"/>
        <v>7</v>
      </c>
      <c r="AT16" s="102">
        <f t="shared" si="45"/>
        <v>0.013506944444444391</v>
      </c>
      <c r="AV16" s="101">
        <f t="shared" si="46"/>
        <v>7</v>
      </c>
      <c r="AW16" s="102">
        <f t="shared" si="47"/>
        <v>0.012997685185185154</v>
      </c>
      <c r="AX16" s="112"/>
      <c r="AY16" s="113" t="str">
        <f t="shared" si="48"/>
        <v>Purple Patch</v>
      </c>
      <c r="AZ16" s="114">
        <f t="shared" si="49"/>
        <v>0.000312500000000002</v>
      </c>
      <c r="BA16" s="114">
        <f t="shared" si="50"/>
        <v>0.00023148148148148182</v>
      </c>
      <c r="BB16" s="114">
        <f t="shared" si="51"/>
        <v>0.0002777777777777761</v>
      </c>
      <c r="BC16" s="114">
        <f t="shared" si="52"/>
        <v>9.259259259258856E-05</v>
      </c>
      <c r="BD16" s="114">
        <f t="shared" si="53"/>
        <v>0.00043981481481480955</v>
      </c>
      <c r="BE16" s="114">
        <f t="shared" si="54"/>
        <v>0.0004513888888888831</v>
      </c>
      <c r="BF16" s="114">
        <f t="shared" si="55"/>
        <v>0.0016666666666666635</v>
      </c>
      <c r="BG16" s="114">
        <f t="shared" si="56"/>
        <v>0.0014699074074074059</v>
      </c>
      <c r="BH16" s="114">
        <f t="shared" si="57"/>
        <v>0</v>
      </c>
      <c r="BI16" s="114">
        <f t="shared" si="58"/>
        <v>0.0026736111111111127</v>
      </c>
      <c r="BJ16" s="114">
        <f t="shared" si="59"/>
        <v>0.004016203703703702</v>
      </c>
      <c r="BK16" s="114">
        <f t="shared" si="60"/>
        <v>0.007037037037037036</v>
      </c>
      <c r="BL16" s="114">
        <f t="shared" si="61"/>
        <v>0.011342592592592585</v>
      </c>
      <c r="BM16" s="114">
        <f t="shared" si="62"/>
        <v>0.01166666666666663</v>
      </c>
      <c r="BN16" s="114">
        <f t="shared" si="63"/>
        <v>0.013506944444444391</v>
      </c>
      <c r="BO16" s="114">
        <f t="shared" si="64"/>
        <v>0.012997685185185154</v>
      </c>
    </row>
    <row r="17" spans="3:67" ht="12.75">
      <c r="C17" s="101">
        <f t="shared" si="16"/>
        <v>4</v>
      </c>
      <c r="D17" s="102">
        <f t="shared" si="17"/>
        <v>0.00042824074074074205</v>
      </c>
      <c r="F17" s="101">
        <f t="shared" si="18"/>
        <v>3</v>
      </c>
      <c r="G17" s="102">
        <f t="shared" si="19"/>
        <v>0.00016203703703703692</v>
      </c>
      <c r="I17" s="101">
        <f t="shared" si="20"/>
        <v>2</v>
      </c>
      <c r="J17" s="102">
        <f t="shared" si="21"/>
        <v>0.00011574074074073917</v>
      </c>
      <c r="L17" s="101">
        <f t="shared" si="22"/>
        <v>3</v>
      </c>
      <c r="M17" s="102">
        <f t="shared" si="23"/>
        <v>6.944444444444142E-05</v>
      </c>
      <c r="O17" s="101">
        <f t="shared" si="24"/>
        <v>4</v>
      </c>
      <c r="P17" s="102">
        <f t="shared" si="25"/>
        <v>0.0005208333333333315</v>
      </c>
      <c r="R17" s="101">
        <f t="shared" si="26"/>
        <v>2</v>
      </c>
      <c r="S17" s="102">
        <f t="shared" si="27"/>
        <v>1.157407407407357E-05</v>
      </c>
      <c r="U17" s="101">
        <f t="shared" si="28"/>
        <v>1</v>
      </c>
      <c r="V17" s="102">
        <f t="shared" si="29"/>
        <v>0</v>
      </c>
      <c r="X17" s="101">
        <f t="shared" si="30"/>
        <v>1</v>
      </c>
      <c r="Y17" s="102">
        <f t="shared" si="31"/>
        <v>0</v>
      </c>
      <c r="AA17" s="101">
        <f t="shared" si="32"/>
        <v>4</v>
      </c>
      <c r="AB17" s="102">
        <f t="shared" si="33"/>
        <v>0.0005787037037037063</v>
      </c>
      <c r="AD17" s="101">
        <f t="shared" si="34"/>
        <v>1</v>
      </c>
      <c r="AE17" s="102">
        <f t="shared" si="35"/>
        <v>0</v>
      </c>
      <c r="AG17" s="101">
        <f t="shared" si="36"/>
        <v>1</v>
      </c>
      <c r="AH17" s="102">
        <f t="shared" si="37"/>
        <v>0</v>
      </c>
      <c r="AJ17" s="101">
        <f t="shared" si="38"/>
        <v>1</v>
      </c>
      <c r="AK17" s="102">
        <f t="shared" si="39"/>
        <v>0</v>
      </c>
      <c r="AM17" s="101">
        <f t="shared" si="40"/>
        <v>1</v>
      </c>
      <c r="AN17" s="102">
        <f t="shared" si="41"/>
        <v>0</v>
      </c>
      <c r="AP17" s="101">
        <f t="shared" si="42"/>
        <v>1</v>
      </c>
      <c r="AQ17" s="102">
        <f t="shared" si="43"/>
        <v>0</v>
      </c>
      <c r="AS17" s="101">
        <f t="shared" si="44"/>
        <v>1</v>
      </c>
      <c r="AT17" s="102">
        <f t="shared" si="45"/>
        <v>0</v>
      </c>
      <c r="AV17" s="101">
        <f t="shared" si="46"/>
        <v>2</v>
      </c>
      <c r="AW17" s="102">
        <f t="shared" si="47"/>
        <v>0.0002662037037037268</v>
      </c>
      <c r="AX17" s="112"/>
      <c r="AY17" s="113" t="str">
        <f t="shared" si="48"/>
        <v>All The Presidents Men</v>
      </c>
      <c r="AZ17" s="114">
        <f t="shared" si="49"/>
        <v>0.00042824074074074205</v>
      </c>
      <c r="BA17" s="114">
        <f t="shared" si="50"/>
        <v>0.00016203703703703692</v>
      </c>
      <c r="BB17" s="114">
        <f t="shared" si="51"/>
        <v>0.00011574074074073917</v>
      </c>
      <c r="BC17" s="114">
        <f t="shared" si="52"/>
        <v>6.944444444444142E-05</v>
      </c>
      <c r="BD17" s="114">
        <f t="shared" si="53"/>
        <v>0.0005208333333333315</v>
      </c>
      <c r="BE17" s="114">
        <f t="shared" si="54"/>
        <v>1.157407407407357E-05</v>
      </c>
      <c r="BF17" s="114">
        <f t="shared" si="55"/>
        <v>0</v>
      </c>
      <c r="BG17" s="114">
        <f t="shared" si="56"/>
        <v>0</v>
      </c>
      <c r="BH17" s="114">
        <f t="shared" si="57"/>
        <v>0.0005787037037037063</v>
      </c>
      <c r="BI17" s="114">
        <f t="shared" si="58"/>
        <v>0</v>
      </c>
      <c r="BJ17" s="114">
        <f t="shared" si="59"/>
        <v>0</v>
      </c>
      <c r="BK17" s="114">
        <f t="shared" si="60"/>
        <v>0</v>
      </c>
      <c r="BL17" s="114">
        <f t="shared" si="61"/>
        <v>0</v>
      </c>
      <c r="BM17" s="114">
        <f t="shared" si="62"/>
        <v>0</v>
      </c>
      <c r="BN17" s="114">
        <f t="shared" si="63"/>
        <v>0</v>
      </c>
      <c r="BO17" s="114">
        <f t="shared" si="64"/>
        <v>0.0002662037037037268</v>
      </c>
    </row>
    <row r="18" spans="3:67" ht="12.75">
      <c r="C18" s="101">
        <f t="shared" si="16"/>
        <v>5</v>
      </c>
      <c r="D18" s="102">
        <f t="shared" si="17"/>
        <v>0.0005208333333333341</v>
      </c>
      <c r="F18" s="101">
        <f t="shared" si="18"/>
        <v>5</v>
      </c>
      <c r="G18" s="102">
        <f t="shared" si="19"/>
        <v>0.0003703703703703716</v>
      </c>
      <c r="I18" s="101">
        <f t="shared" si="20"/>
        <v>1</v>
      </c>
      <c r="J18" s="102">
        <f t="shared" si="21"/>
        <v>0</v>
      </c>
      <c r="L18" s="101">
        <f t="shared" si="22"/>
        <v>1</v>
      </c>
      <c r="M18" s="102">
        <f t="shared" si="23"/>
        <v>0</v>
      </c>
      <c r="O18" s="101">
        <f t="shared" si="24"/>
        <v>5</v>
      </c>
      <c r="P18" s="102">
        <f t="shared" si="25"/>
        <v>0.0006481481481481477</v>
      </c>
      <c r="R18" s="101">
        <f t="shared" si="26"/>
        <v>4</v>
      </c>
      <c r="S18" s="102">
        <f t="shared" si="27"/>
        <v>0.0004050925925925958</v>
      </c>
      <c r="U18" s="101">
        <f t="shared" si="28"/>
        <v>2</v>
      </c>
      <c r="V18" s="102">
        <f t="shared" si="29"/>
        <v>0.000879629629629633</v>
      </c>
      <c r="X18" s="101">
        <f t="shared" si="30"/>
        <v>3</v>
      </c>
      <c r="Y18" s="102">
        <f t="shared" si="31"/>
        <v>0.0010069444444444492</v>
      </c>
      <c r="AA18" s="101">
        <f t="shared" si="32"/>
        <v>2</v>
      </c>
      <c r="AB18" s="102">
        <f t="shared" si="33"/>
        <v>0.00045138888888889006</v>
      </c>
      <c r="AD18" s="101">
        <f t="shared" si="34"/>
        <v>2</v>
      </c>
      <c r="AE18" s="102">
        <f t="shared" si="35"/>
        <v>0.00020833333333332427</v>
      </c>
      <c r="AG18" s="101">
        <f t="shared" si="36"/>
        <v>4</v>
      </c>
      <c r="AH18" s="102">
        <f t="shared" si="37"/>
        <v>0.0015046296296296197</v>
      </c>
      <c r="AJ18" s="101">
        <f t="shared" si="38"/>
        <v>2</v>
      </c>
      <c r="AK18" s="102">
        <f t="shared" si="39"/>
        <v>0.002002314814814804</v>
      </c>
      <c r="AM18" s="101">
        <f t="shared" si="40"/>
        <v>3</v>
      </c>
      <c r="AN18" s="102">
        <f t="shared" si="41"/>
        <v>0.00212962962962962</v>
      </c>
      <c r="AP18" s="101">
        <f t="shared" si="42"/>
        <v>4</v>
      </c>
      <c r="AQ18" s="102">
        <f t="shared" si="43"/>
        <v>0.0024189814814814525</v>
      </c>
      <c r="AS18" s="101">
        <f t="shared" si="44"/>
        <v>4</v>
      </c>
      <c r="AT18" s="102">
        <f t="shared" si="45"/>
        <v>0.0032523148148147774</v>
      </c>
      <c r="AV18" s="101">
        <f t="shared" si="46"/>
        <v>4</v>
      </c>
      <c r="AW18" s="102">
        <f t="shared" si="47"/>
        <v>0.0036458333333333204</v>
      </c>
      <c r="AX18" s="112"/>
      <c r="AY18" s="113" t="str">
        <f t="shared" si="48"/>
        <v>White Lightening</v>
      </c>
      <c r="AZ18" s="114">
        <f t="shared" si="49"/>
        <v>0.0005208333333333341</v>
      </c>
      <c r="BA18" s="114">
        <f t="shared" si="50"/>
        <v>0.0003703703703703716</v>
      </c>
      <c r="BB18" s="114">
        <f t="shared" si="51"/>
        <v>0</v>
      </c>
      <c r="BC18" s="114">
        <f t="shared" si="52"/>
        <v>0</v>
      </c>
      <c r="BD18" s="114">
        <f t="shared" si="53"/>
        <v>0.0006481481481481477</v>
      </c>
      <c r="BE18" s="114">
        <f t="shared" si="54"/>
        <v>0.0004050925925925958</v>
      </c>
      <c r="BF18" s="114">
        <f t="shared" si="55"/>
        <v>0.000879629629629633</v>
      </c>
      <c r="BG18" s="114">
        <f t="shared" si="56"/>
        <v>0.0010069444444444492</v>
      </c>
      <c r="BH18" s="114">
        <f t="shared" si="57"/>
        <v>0.00045138888888889006</v>
      </c>
      <c r="BI18" s="114">
        <f t="shared" si="58"/>
        <v>0.00020833333333332427</v>
      </c>
      <c r="BJ18" s="114">
        <f t="shared" si="59"/>
        <v>0.0015046296296296197</v>
      </c>
      <c r="BK18" s="114">
        <f t="shared" si="60"/>
        <v>0.002002314814814804</v>
      </c>
      <c r="BL18" s="114">
        <f t="shared" si="61"/>
        <v>0.00212962962962962</v>
      </c>
      <c r="BM18" s="114">
        <f t="shared" si="62"/>
        <v>0.0024189814814814525</v>
      </c>
      <c r="BN18" s="114">
        <f t="shared" si="63"/>
        <v>0.0032523148148147774</v>
      </c>
      <c r="BO18" s="114">
        <f t="shared" si="64"/>
        <v>0.0036458333333333204</v>
      </c>
    </row>
    <row r="19" spans="3:67" ht="12.75">
      <c r="C19" s="101">
        <f t="shared" si="16"/>
        <v>2</v>
      </c>
      <c r="D19" s="102">
        <f t="shared" si="17"/>
        <v>0.0003009259259259267</v>
      </c>
      <c r="F19" s="101">
        <f t="shared" si="18"/>
        <v>2</v>
      </c>
      <c r="G19" s="102">
        <f t="shared" si="19"/>
        <v>4.6296296296296016E-05</v>
      </c>
      <c r="I19" s="101">
        <f t="shared" si="20"/>
        <v>3</v>
      </c>
      <c r="J19" s="102">
        <f t="shared" si="21"/>
        <v>0.0001851851851851806</v>
      </c>
      <c r="L19" s="101">
        <f t="shared" si="22"/>
        <v>5</v>
      </c>
      <c r="M19" s="102">
        <f t="shared" si="23"/>
        <v>0.00019675925925925417</v>
      </c>
      <c r="O19" s="101">
        <f t="shared" si="24"/>
        <v>3</v>
      </c>
      <c r="P19" s="102">
        <f t="shared" si="25"/>
        <v>0.0004976851851851843</v>
      </c>
      <c r="R19" s="101">
        <f t="shared" si="26"/>
        <v>3</v>
      </c>
      <c r="S19" s="102">
        <f t="shared" si="27"/>
        <v>0.0001273148148148162</v>
      </c>
      <c r="U19" s="101">
        <f t="shared" si="28"/>
        <v>3</v>
      </c>
      <c r="V19" s="102">
        <f t="shared" si="29"/>
        <v>0.001064814814814817</v>
      </c>
      <c r="X19" s="101">
        <f t="shared" si="30"/>
        <v>4</v>
      </c>
      <c r="Y19" s="102">
        <f t="shared" si="31"/>
        <v>0.0013425925925926036</v>
      </c>
      <c r="AA19" s="101">
        <f t="shared" si="32"/>
        <v>5</v>
      </c>
      <c r="AB19" s="102">
        <f t="shared" si="33"/>
        <v>0.0006018518518518534</v>
      </c>
      <c r="AD19" s="101">
        <f t="shared" si="34"/>
        <v>3</v>
      </c>
      <c r="AE19" s="102">
        <f t="shared" si="35"/>
        <v>0.0005787037037036924</v>
      </c>
      <c r="AG19" s="101">
        <f t="shared" si="36"/>
        <v>3</v>
      </c>
      <c r="AH19" s="102">
        <f t="shared" si="37"/>
        <v>0.0014351851851851782</v>
      </c>
      <c r="AJ19" s="101">
        <f t="shared" si="38"/>
        <v>4</v>
      </c>
      <c r="AK19" s="102">
        <f t="shared" si="39"/>
        <v>0.0023958333333333193</v>
      </c>
      <c r="AM19" s="101">
        <f t="shared" si="40"/>
        <v>5</v>
      </c>
      <c r="AN19" s="102">
        <f>AN10-MIN(AN$4,AN$5,AN$6,AN$7,AN$8,AN$9,AN$1)</f>
        <v>0.0027662037037037013</v>
      </c>
      <c r="AP19" s="101">
        <f t="shared" si="42"/>
        <v>5</v>
      </c>
      <c r="AQ19" s="102">
        <f t="shared" si="43"/>
        <v>0.0027430555555555403</v>
      </c>
      <c r="AS19" s="101">
        <f t="shared" si="44"/>
        <v>5</v>
      </c>
      <c r="AT19" s="102">
        <f t="shared" si="45"/>
        <v>0.004641203703703689</v>
      </c>
      <c r="AV19" s="101">
        <f t="shared" si="46"/>
        <v>5</v>
      </c>
      <c r="AW19" s="102">
        <f t="shared" si="47"/>
        <v>0.006087962962962962</v>
      </c>
      <c r="AX19" s="112"/>
      <c r="AY19" s="113" t="str">
        <f t="shared" si="48"/>
        <v>Mitho's Fab Four</v>
      </c>
      <c r="AZ19" s="114">
        <f t="shared" si="49"/>
        <v>0.0003009259259259267</v>
      </c>
      <c r="BA19" s="114">
        <f t="shared" si="50"/>
        <v>4.6296296296296016E-05</v>
      </c>
      <c r="BB19" s="114">
        <f t="shared" si="51"/>
        <v>0.0001851851851851806</v>
      </c>
      <c r="BC19" s="114">
        <f t="shared" si="52"/>
        <v>0.00019675925925925417</v>
      </c>
      <c r="BD19" s="114">
        <f t="shared" si="53"/>
        <v>0.0004976851851851843</v>
      </c>
      <c r="BE19" s="114">
        <f t="shared" si="54"/>
        <v>0.0001273148148148162</v>
      </c>
      <c r="BF19" s="114">
        <f t="shared" si="55"/>
        <v>0.001064814814814817</v>
      </c>
      <c r="BG19" s="114">
        <f t="shared" si="56"/>
        <v>0.0013425925925926036</v>
      </c>
      <c r="BH19" s="114">
        <f t="shared" si="57"/>
        <v>0.0006018518518518534</v>
      </c>
      <c r="BI19" s="114">
        <f t="shared" si="58"/>
        <v>0.0005787037037036924</v>
      </c>
      <c r="BJ19" s="114">
        <f t="shared" si="59"/>
        <v>0.0014351851851851782</v>
      </c>
      <c r="BK19" s="114">
        <f t="shared" si="60"/>
        <v>0.0023958333333333193</v>
      </c>
      <c r="BL19" s="114">
        <f t="shared" si="61"/>
        <v>0.0027662037037037013</v>
      </c>
      <c r="BM19" s="114">
        <f t="shared" si="62"/>
        <v>0.0027430555555555403</v>
      </c>
      <c r="BN19" s="114">
        <f t="shared" si="63"/>
        <v>0.004641203703703689</v>
      </c>
      <c r="BO19" s="114">
        <f t="shared" si="64"/>
        <v>0.006087962962962962</v>
      </c>
    </row>
  </sheetData>
  <printOptions/>
  <pageMargins left="0.75" right="0.75" top="1" bottom="1" header="0.5" footer="0.5"/>
  <pageSetup fitToHeight="1" fitToWidth="1" horizontalDpi="300" verticalDpi="300" orientation="landscape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showZeros="0" zoomScale="95" zoomScaleNormal="95" workbookViewId="0" topLeftCell="A1">
      <selection activeCell="N7" sqref="N7"/>
    </sheetView>
  </sheetViews>
  <sheetFormatPr defaultColWidth="9.140625" defaultRowHeight="12.75"/>
  <cols>
    <col min="1" max="1" width="3.7109375" style="2" customWidth="1"/>
    <col min="2" max="2" width="16.421875" style="1" customWidth="1"/>
    <col min="3" max="3" width="5.7109375" style="2" customWidth="1"/>
    <col min="4" max="4" width="5.7109375" style="7" customWidth="1"/>
    <col min="5" max="5" width="5.7109375" style="3" customWidth="1"/>
    <col min="6" max="6" width="6.7109375" style="7" customWidth="1"/>
    <col min="7" max="7" width="1.7109375" style="1" customWidth="1"/>
    <col min="8" max="8" width="5.7109375" style="2" customWidth="1"/>
    <col min="9" max="9" width="5.7109375" style="7" customWidth="1"/>
    <col min="10" max="10" width="5.7109375" style="3" customWidth="1"/>
    <col min="11" max="11" width="6.7109375" style="7" customWidth="1"/>
    <col min="12" max="12" width="1.7109375" style="1" customWidth="1"/>
    <col min="13" max="13" width="5.7109375" style="2" customWidth="1"/>
    <col min="14" max="14" width="5.7109375" style="7" customWidth="1"/>
    <col min="15" max="15" width="5.7109375" style="3" customWidth="1"/>
    <col min="16" max="16" width="6.7109375" style="7" customWidth="1"/>
    <col min="17" max="17" width="1.7109375" style="1" customWidth="1"/>
    <col min="18" max="18" width="5.7109375" style="2" customWidth="1"/>
    <col min="19" max="19" width="5.7109375" style="7" customWidth="1"/>
    <col min="20" max="20" width="5.7109375" style="3" customWidth="1"/>
    <col min="21" max="21" width="6.7109375" style="7" customWidth="1"/>
    <col min="22" max="22" width="1.7109375" style="1" customWidth="1"/>
    <col min="23" max="23" width="7.7109375" style="3" customWidth="1"/>
    <col min="24" max="25" width="7.7109375" style="7" customWidth="1"/>
    <col min="26" max="26" width="1.1484375" style="1" customWidth="1"/>
    <col min="27" max="16384" width="9.140625" style="1" customWidth="1"/>
  </cols>
  <sheetData>
    <row r="1" spans="1:25" s="6" customFormat="1" ht="12.75">
      <c r="A1" s="21"/>
      <c r="B1" s="22"/>
      <c r="C1" s="8" t="s">
        <v>33</v>
      </c>
      <c r="D1" s="14"/>
      <c r="E1" s="16"/>
      <c r="F1" s="18"/>
      <c r="G1" s="1"/>
      <c r="H1" s="8" t="s">
        <v>34</v>
      </c>
      <c r="I1" s="14"/>
      <c r="J1" s="16"/>
      <c r="K1" s="18"/>
      <c r="L1" s="1"/>
      <c r="M1" s="8" t="s">
        <v>35</v>
      </c>
      <c r="N1" s="14"/>
      <c r="O1" s="16"/>
      <c r="P1" s="18"/>
      <c r="Q1" s="1"/>
      <c r="R1" s="8" t="s">
        <v>36</v>
      </c>
      <c r="S1" s="14"/>
      <c r="T1" s="16"/>
      <c r="U1" s="18"/>
      <c r="W1" s="24" t="s">
        <v>39</v>
      </c>
      <c r="X1" s="23" t="s">
        <v>39</v>
      </c>
      <c r="Y1" s="23" t="s">
        <v>40</v>
      </c>
    </row>
    <row r="2" spans="2:27" ht="12.75">
      <c r="B2" s="162" t="s">
        <v>28</v>
      </c>
      <c r="C2" s="157" t="s">
        <v>11</v>
      </c>
      <c r="D2" s="23" t="s">
        <v>7</v>
      </c>
      <c r="E2" s="24" t="s">
        <v>32</v>
      </c>
      <c r="F2" s="23" t="s">
        <v>8</v>
      </c>
      <c r="H2" s="9" t="s">
        <v>11</v>
      </c>
      <c r="I2" s="15" t="s">
        <v>7</v>
      </c>
      <c r="J2" s="17" t="s">
        <v>32</v>
      </c>
      <c r="K2" s="15" t="s">
        <v>8</v>
      </c>
      <c r="M2" s="9" t="s">
        <v>11</v>
      </c>
      <c r="N2" s="15" t="s">
        <v>7</v>
      </c>
      <c r="O2" s="17" t="s">
        <v>32</v>
      </c>
      <c r="P2" s="15" t="s">
        <v>8</v>
      </c>
      <c r="R2" s="9" t="s">
        <v>11</v>
      </c>
      <c r="S2" s="15" t="s">
        <v>7</v>
      </c>
      <c r="T2" s="17" t="s">
        <v>32</v>
      </c>
      <c r="U2" s="15" t="s">
        <v>8</v>
      </c>
      <c r="W2" s="131" t="s">
        <v>38</v>
      </c>
      <c r="X2" s="132" t="s">
        <v>7</v>
      </c>
      <c r="Y2" s="132" t="s">
        <v>8</v>
      </c>
      <c r="AA2" s="2" t="s">
        <v>10</v>
      </c>
    </row>
    <row r="3" spans="1:27" ht="12.75">
      <c r="A3" s="4"/>
      <c r="B3" s="159" t="str">
        <f>+'Team Selection'!D3</f>
        <v>Stephen Paine</v>
      </c>
      <c r="C3" s="127">
        <f>VLOOKUP($B3&amp;"1",Data!$C:$G,2,FALSE)</f>
        <v>4</v>
      </c>
      <c r="D3" s="128">
        <f>VLOOKUP($B3&amp;"1",Data!$C:$G,4,FALSE)</f>
        <v>0.004814814814814815</v>
      </c>
      <c r="E3" s="129">
        <f>VLOOKUP($B3&amp;"1",Data!$C:$G,5,FALSE)</f>
        <v>2.3</v>
      </c>
      <c r="F3" s="130">
        <f>+D3/E3</f>
        <v>0.002093397745571659</v>
      </c>
      <c r="H3" s="127">
        <f>VLOOKUP($B3&amp;"2",Data!$C:$G,2,FALSE)</f>
        <v>8</v>
      </c>
      <c r="I3" s="128">
        <f>VLOOKUP($B3&amp;"2",Data!$C:$G,4,FALSE)</f>
        <v>0.009340277777777777</v>
      </c>
      <c r="J3" s="129">
        <f>VLOOKUP($B3&amp;"2",Data!$C:$G,5,FALSE)</f>
        <v>4.35</v>
      </c>
      <c r="K3" s="130">
        <f>+I3/J3</f>
        <v>0.002147190293742018</v>
      </c>
      <c r="M3" s="127">
        <f>VLOOKUP($B3&amp;"3",Data!$C:$G,2,FALSE)</f>
        <v>13</v>
      </c>
      <c r="N3" s="128">
        <f>VLOOKUP($B3&amp;"3",Data!$C:$G,4,FALSE)</f>
        <v>0.01042824074074074</v>
      </c>
      <c r="O3" s="129">
        <f>VLOOKUP($B3&amp;"3",Data!$C:$G,5,FALSE)</f>
        <v>4.75</v>
      </c>
      <c r="P3" s="130">
        <f>+N3/O3</f>
        <v>0.00219541910331384</v>
      </c>
      <c r="R3" s="127">
        <f>VLOOKUP($B3&amp;"4",Data!$C:$G,2,FALSE)</f>
        <v>16</v>
      </c>
      <c r="S3" s="128">
        <f>VLOOKUP($B3&amp;"4",Data!$C:$G,4,FALSE)</f>
        <v>0.01298611111111111</v>
      </c>
      <c r="T3" s="129">
        <f>VLOOKUP($B3&amp;"4",Data!$C:$G,5,FALSE)</f>
        <v>5.6</v>
      </c>
      <c r="U3" s="130">
        <f>+S3/T3</f>
        <v>0.0023189484126984127</v>
      </c>
      <c r="W3" s="133">
        <f>SUM(E3,J3,O3,T3)</f>
        <v>17</v>
      </c>
      <c r="X3" s="156">
        <f>SUM(D3,I3,N3,S3)</f>
        <v>0.03756944444444444</v>
      </c>
      <c r="Y3" s="130">
        <f>SUM(D3,I3,N3,S3)/W3</f>
        <v>0.0022099673202614378</v>
      </c>
      <c r="AA3" s="2">
        <f aca="true" t="shared" si="0" ref="AA3:AA9">RANK(Y3,Y$3:Y$9,1)</f>
        <v>1</v>
      </c>
    </row>
    <row r="4" spans="1:27" ht="12.75">
      <c r="A4" s="4"/>
      <c r="B4" s="126" t="str">
        <f>+'Team Selection'!D4</f>
        <v>Troy Williams</v>
      </c>
      <c r="C4" s="127">
        <f>VLOOKUP($B4&amp;"1",Data!$C:$G,2,FALSE)</f>
        <v>4</v>
      </c>
      <c r="D4" s="128">
        <f>VLOOKUP($B4&amp;"1",Data!$C:$G,4,FALSE)</f>
        <v>0.005219907407407407</v>
      </c>
      <c r="E4" s="129">
        <f>VLOOKUP($B4&amp;"1",Data!$C:$G,5,FALSE)</f>
        <v>2.3</v>
      </c>
      <c r="F4" s="130">
        <f aca="true" t="shared" si="1" ref="F4:F9">+D4/E4</f>
        <v>0.002269524959742351</v>
      </c>
      <c r="H4" s="127">
        <f>VLOOKUP($B4&amp;"2",Data!$C:$G,2,FALSE)</f>
        <v>8</v>
      </c>
      <c r="I4" s="128">
        <f>VLOOKUP($B4&amp;"2",Data!$C:$G,4,FALSE)</f>
        <v>0.010069444444444445</v>
      </c>
      <c r="J4" s="129">
        <f>VLOOKUP($B4&amp;"2",Data!$C:$G,5,FALSE)</f>
        <v>4.35</v>
      </c>
      <c r="K4" s="130">
        <f aca="true" t="shared" si="2" ref="K4:K9">+I4/J4</f>
        <v>0.002314814814814815</v>
      </c>
      <c r="M4" s="127">
        <f>VLOOKUP($B4&amp;"3",Data!$C:$G,2,FALSE)</f>
        <v>13</v>
      </c>
      <c r="N4" s="128">
        <f>VLOOKUP($B4&amp;"3",Data!$C:$G,4,FALSE)</f>
        <v>0.011284722222222222</v>
      </c>
      <c r="O4" s="129">
        <f>VLOOKUP($B4&amp;"3",Data!$C:$G,5,FALSE)</f>
        <v>4.75</v>
      </c>
      <c r="P4" s="130">
        <f aca="true" t="shared" si="3" ref="P4:P9">+N4/O4</f>
        <v>0.0023757309941520467</v>
      </c>
      <c r="R4" s="127">
        <f>VLOOKUP($B4&amp;"4",Data!$C:$G,2,FALSE)</f>
        <v>16</v>
      </c>
      <c r="S4" s="128">
        <f>VLOOKUP($B4&amp;"4",Data!$C:$G,4,FALSE)</f>
        <v>0.014930555555555556</v>
      </c>
      <c r="T4" s="129">
        <f>VLOOKUP($B4&amp;"4",Data!$C:$G,5,FALSE)</f>
        <v>5.6</v>
      </c>
      <c r="U4" s="130">
        <f aca="true" t="shared" si="4" ref="U4:U9">+S4/T4</f>
        <v>0.0026661706349206354</v>
      </c>
      <c r="W4" s="133">
        <f aca="true" t="shared" si="5" ref="W4:W9">SUM(E4,J4,O4,T4)</f>
        <v>17</v>
      </c>
      <c r="X4" s="156">
        <f aca="true" t="shared" si="6" ref="X4:X9">SUM(D4,I4,N4,S4)</f>
        <v>0.041504629629629634</v>
      </c>
      <c r="Y4" s="130">
        <f aca="true" t="shared" si="7" ref="Y4:Y9">SUM(D4,I4,N4,S4)/W4</f>
        <v>0.0024414488017429196</v>
      </c>
      <c r="AA4" s="2">
        <f t="shared" si="0"/>
        <v>5</v>
      </c>
    </row>
    <row r="5" spans="1:27" ht="12.75">
      <c r="A5" s="4"/>
      <c r="B5" s="126" t="str">
        <f>+'Team Selection'!D5</f>
        <v>David Venour</v>
      </c>
      <c r="C5" s="127">
        <f>VLOOKUP($B5&amp;"1",Data!$C:$G,2,FALSE)</f>
        <v>4</v>
      </c>
      <c r="D5" s="128">
        <f>VLOOKUP($B5&amp;"1",Data!$C:$G,4,FALSE)</f>
        <v>0.005208333333333333</v>
      </c>
      <c r="E5" s="129">
        <f>VLOOKUP($B5&amp;"1",Data!$C:$G,5,FALSE)</f>
        <v>2.3</v>
      </c>
      <c r="F5" s="130">
        <f t="shared" si="1"/>
        <v>0.0022644927536231885</v>
      </c>
      <c r="H5" s="127">
        <f>VLOOKUP($B5&amp;"2",Data!$C:$G,2,FALSE)</f>
        <v>8</v>
      </c>
      <c r="I5" s="128">
        <f>VLOOKUP($B5&amp;"2",Data!$C:$G,4,FALSE)</f>
        <v>0.009930555555555555</v>
      </c>
      <c r="J5" s="129">
        <f>VLOOKUP($B5&amp;"2",Data!$C:$G,5,FALSE)</f>
        <v>4.35</v>
      </c>
      <c r="K5" s="130">
        <f t="shared" si="2"/>
        <v>0.0022828863346104726</v>
      </c>
      <c r="M5" s="127">
        <f>VLOOKUP($B5&amp;"3",Data!$C:$G,2,FALSE)</f>
        <v>13</v>
      </c>
      <c r="N5" s="128">
        <f>VLOOKUP($B5&amp;"3",Data!$C:$G,4,FALSE)</f>
        <v>0.011145833333333334</v>
      </c>
      <c r="O5" s="129">
        <f>VLOOKUP($B5&amp;"3",Data!$C:$G,5,FALSE)</f>
        <v>4.75</v>
      </c>
      <c r="P5" s="130">
        <f t="shared" si="3"/>
        <v>0.0023464912280701756</v>
      </c>
      <c r="R5" s="127">
        <f>VLOOKUP($B5&amp;"4",Data!$C:$G,2,FALSE)</f>
        <v>16</v>
      </c>
      <c r="S5" s="128">
        <f>VLOOKUP($B5&amp;"4",Data!$C:$G,4,FALSE)</f>
        <v>0.014421296296296295</v>
      </c>
      <c r="T5" s="129">
        <f>VLOOKUP($B5&amp;"4",Data!$C:$G,5,FALSE)</f>
        <v>5.6</v>
      </c>
      <c r="U5" s="130">
        <f t="shared" si="4"/>
        <v>0.0025752314814814813</v>
      </c>
      <c r="W5" s="133">
        <f t="shared" si="5"/>
        <v>17</v>
      </c>
      <c r="X5" s="156">
        <f t="shared" si="6"/>
        <v>0.040706018518518516</v>
      </c>
      <c r="Y5" s="130">
        <f t="shared" si="7"/>
        <v>0.0023944716775599127</v>
      </c>
      <c r="AA5" s="2">
        <f t="shared" si="0"/>
        <v>3</v>
      </c>
    </row>
    <row r="6" spans="1:27" ht="12.75">
      <c r="A6" s="4"/>
      <c r="B6" s="126" t="str">
        <f>+'Team Selection'!D6</f>
        <v>Andrew Coles</v>
      </c>
      <c r="C6" s="127">
        <f>VLOOKUP($B6&amp;"1",Data!$C:$G,2,FALSE)</f>
        <v>4</v>
      </c>
      <c r="D6" s="128">
        <f>VLOOKUP($B6&amp;"1",Data!$C:$G,4,FALSE)</f>
        <v>0.005138888888888889</v>
      </c>
      <c r="E6" s="129">
        <f>VLOOKUP($B6&amp;"1",Data!$C:$G,5,FALSE)</f>
        <v>2.3</v>
      </c>
      <c r="F6" s="130">
        <f t="shared" si="1"/>
        <v>0.0022342995169082128</v>
      </c>
      <c r="H6" s="127">
        <f>VLOOKUP($B6&amp;"2",Data!$C:$G,2,FALSE)</f>
        <v>8</v>
      </c>
      <c r="I6" s="128">
        <f>VLOOKUP($B6&amp;"2",Data!$C:$G,4,FALSE)</f>
        <v>0.009965277777777778</v>
      </c>
      <c r="J6" s="129">
        <f>VLOOKUP($B6&amp;"2",Data!$C:$G,5,FALSE)</f>
        <v>4.35</v>
      </c>
      <c r="K6" s="130">
        <f t="shared" si="2"/>
        <v>0.002290868454661558</v>
      </c>
      <c r="M6" s="127">
        <f>VLOOKUP($B6&amp;"3",Data!$C:$G,2,FALSE)</f>
        <v>9</v>
      </c>
      <c r="N6" s="128">
        <f>VLOOKUP($B6&amp;"3",Data!$C:$G,4,FALSE)</f>
        <v>0.010393518518518519</v>
      </c>
      <c r="O6" s="129">
        <f>VLOOKUP($B6&amp;"3",Data!$C:$G,5,FALSE)</f>
        <v>4.5</v>
      </c>
      <c r="P6" s="130">
        <f t="shared" si="3"/>
        <v>0.002309670781893004</v>
      </c>
      <c r="R6" s="127">
        <f>VLOOKUP($B6&amp;"4",Data!$C:$G,2,FALSE)</f>
        <v>16</v>
      </c>
      <c r="S6" s="128">
        <f>VLOOKUP($B6&amp;"4",Data!$C:$G,4,FALSE)</f>
        <v>0.013796296296296298</v>
      </c>
      <c r="T6" s="129">
        <f>VLOOKUP($B6&amp;"4",Data!$C:$G,5,FALSE)</f>
        <v>5.6</v>
      </c>
      <c r="U6" s="130">
        <f t="shared" si="4"/>
        <v>0.0024636243386243393</v>
      </c>
      <c r="W6" s="133">
        <f t="shared" si="5"/>
        <v>16.75</v>
      </c>
      <c r="X6" s="156">
        <f t="shared" si="6"/>
        <v>0.039293981481481485</v>
      </c>
      <c r="Y6" s="130">
        <f t="shared" si="7"/>
        <v>0.0023459093421779992</v>
      </c>
      <c r="AA6" s="2">
        <f t="shared" si="0"/>
        <v>2</v>
      </c>
    </row>
    <row r="7" spans="1:27" ht="12.75">
      <c r="A7" s="4"/>
      <c r="B7" s="126" t="str">
        <f>+'Team Selection'!D7</f>
        <v>Shane Fielding</v>
      </c>
      <c r="C7" s="127">
        <f>VLOOKUP($B7&amp;"1",Data!$C:$G,2,FALSE)</f>
        <v>4</v>
      </c>
      <c r="D7" s="128">
        <f>VLOOKUP($B7&amp;"1",Data!$C:$G,4,FALSE)</f>
        <v>0.005277777777777777</v>
      </c>
      <c r="E7" s="129">
        <f>VLOOKUP($B7&amp;"1",Data!$C:$G,5,FALSE)</f>
        <v>2.3</v>
      </c>
      <c r="F7" s="130">
        <f t="shared" si="1"/>
        <v>0.002294685990338164</v>
      </c>
      <c r="H7" s="127">
        <f>VLOOKUP($B7&amp;"2",Data!$C:$G,2,FALSE)</f>
        <v>8</v>
      </c>
      <c r="I7" s="128">
        <f>VLOOKUP($B7&amp;"2",Data!$C:$G,4,FALSE)</f>
        <v>0.010162037037037037</v>
      </c>
      <c r="J7" s="129">
        <f>VLOOKUP($B7&amp;"2",Data!$C:$G,5,FALSE)</f>
        <v>4.35</v>
      </c>
      <c r="K7" s="130">
        <f t="shared" si="2"/>
        <v>0.0023361004682843764</v>
      </c>
      <c r="M7" s="127">
        <f>VLOOKUP($B7&amp;"3",Data!$C:$G,2,FALSE)</f>
        <v>13</v>
      </c>
      <c r="N7" s="128">
        <f>VLOOKUP($B7&amp;"3",Data!$C:$G,4,FALSE)</f>
        <v>0.011296296296296296</v>
      </c>
      <c r="O7" s="129">
        <f>VLOOKUP($B7&amp;"3",Data!$C:$G,5,FALSE)</f>
        <v>4.75</v>
      </c>
      <c r="P7" s="130">
        <f t="shared" si="3"/>
        <v>0.002378167641325536</v>
      </c>
      <c r="R7" s="127">
        <f>VLOOKUP($B7&amp;"4",Data!$C:$G,2,FALSE)</f>
        <v>16</v>
      </c>
      <c r="S7" s="128">
        <f>VLOOKUP($B7&amp;"4",Data!$C:$G,4,FALSE)</f>
        <v>0.014571759259259258</v>
      </c>
      <c r="T7" s="129">
        <f>VLOOKUP($B7&amp;"4",Data!$C:$G,5,FALSE)</f>
        <v>5.6</v>
      </c>
      <c r="U7" s="130">
        <f t="shared" si="4"/>
        <v>0.0026020998677248677</v>
      </c>
      <c r="W7" s="133">
        <f t="shared" si="5"/>
        <v>17</v>
      </c>
      <c r="X7" s="156">
        <f t="shared" si="6"/>
        <v>0.04130787037037037</v>
      </c>
      <c r="Y7" s="130">
        <f t="shared" si="7"/>
        <v>0.002429874727668845</v>
      </c>
      <c r="AA7" s="2">
        <f t="shared" si="0"/>
        <v>4</v>
      </c>
    </row>
    <row r="8" spans="1:27" ht="12.75">
      <c r="A8" s="4"/>
      <c r="B8" s="126" t="str">
        <f>+'Team Selection'!D8</f>
        <v>Bruce Arthur</v>
      </c>
      <c r="C8" s="127">
        <f>VLOOKUP($B8&amp;"1",Data!$C:$G,2,FALSE)</f>
        <v>4</v>
      </c>
      <c r="D8" s="128">
        <f>VLOOKUP($B8&amp;"1",Data!$C:$G,4,FALSE)</f>
        <v>0.005324074074074075</v>
      </c>
      <c r="E8" s="129">
        <f>VLOOKUP($B8&amp;"1",Data!$C:$G,5,FALSE)</f>
        <v>2.3</v>
      </c>
      <c r="F8" s="130">
        <f t="shared" si="1"/>
        <v>0.002314814814814815</v>
      </c>
      <c r="H8" s="127">
        <f>VLOOKUP($B8&amp;"2",Data!$C:$G,2,FALSE)</f>
        <v>8</v>
      </c>
      <c r="I8" s="128">
        <f>VLOOKUP($B8&amp;"2",Data!$C:$G,4,FALSE)</f>
        <v>0.010289351851851852</v>
      </c>
      <c r="J8" s="129">
        <f>VLOOKUP($B8&amp;"2",Data!$C:$G,5,FALSE)</f>
        <v>4.35</v>
      </c>
      <c r="K8" s="130">
        <f t="shared" si="2"/>
        <v>0.0023653682418050236</v>
      </c>
      <c r="M8" s="127">
        <f>VLOOKUP($B8&amp;"3",Data!$C:$G,2,FALSE)</f>
        <v>13</v>
      </c>
      <c r="N8" s="128">
        <f>VLOOKUP($B8&amp;"3",Data!$C:$G,4,FALSE)</f>
        <v>0.011423611111111112</v>
      </c>
      <c r="O8" s="129">
        <f>VLOOKUP($B8&amp;"3",Data!$C:$G,5,FALSE)</f>
        <v>4.75</v>
      </c>
      <c r="P8" s="130">
        <f t="shared" si="3"/>
        <v>0.002404970760233918</v>
      </c>
      <c r="R8" s="127">
        <f>VLOOKUP($B8&amp;"4",Data!$C:$G,2,FALSE)</f>
        <v>16</v>
      </c>
      <c r="S8" s="128">
        <f>VLOOKUP($B8&amp;"4",Data!$C:$G,4,FALSE)</f>
        <v>0.014699074074074074</v>
      </c>
      <c r="T8" s="129">
        <f>VLOOKUP($B8&amp;"4",Data!$C:$G,5,FALSE)</f>
        <v>5.6</v>
      </c>
      <c r="U8" s="130">
        <f t="shared" si="4"/>
        <v>0.002624834656084656</v>
      </c>
      <c r="W8" s="133">
        <f t="shared" si="5"/>
        <v>17</v>
      </c>
      <c r="X8" s="156">
        <f t="shared" si="6"/>
        <v>0.04173611111111111</v>
      </c>
      <c r="Y8" s="130">
        <f t="shared" si="7"/>
        <v>0.0024550653594771245</v>
      </c>
      <c r="AA8" s="2">
        <f t="shared" si="0"/>
        <v>6</v>
      </c>
    </row>
    <row r="9" spans="1:27" ht="12.75">
      <c r="A9" s="4"/>
      <c r="B9" s="126" t="str">
        <f>+'Team Selection'!D9</f>
        <v>Anthony Mithen</v>
      </c>
      <c r="C9" s="127">
        <f>VLOOKUP($B9&amp;"1",Data!$C:$G,2,FALSE)</f>
        <v>4</v>
      </c>
      <c r="D9" s="128">
        <f>VLOOKUP($B9&amp;"1",Data!$C:$G,4,FALSE)</f>
        <v>0.005335648148148148</v>
      </c>
      <c r="E9" s="129">
        <f>VLOOKUP($B9&amp;"1",Data!$C:$G,5,FALSE)</f>
        <v>2.3</v>
      </c>
      <c r="F9" s="130">
        <f t="shared" si="1"/>
        <v>0.0023198470209339775</v>
      </c>
      <c r="H9" s="127">
        <f>VLOOKUP($B9&amp;"2",Data!$C:$G,2,FALSE)</f>
        <v>8</v>
      </c>
      <c r="I9" s="128">
        <f>VLOOKUP($B9&amp;"2",Data!$C:$G,4,FALSE)</f>
        <v>0.010439814814814813</v>
      </c>
      <c r="J9" s="129">
        <f>VLOOKUP($B9&amp;"2",Data!$C:$G,5,FALSE)</f>
        <v>4.35</v>
      </c>
      <c r="K9" s="130">
        <f t="shared" si="2"/>
        <v>0.0023999574286930605</v>
      </c>
      <c r="M9" s="127">
        <f>VLOOKUP($B9&amp;"3",Data!$C:$G,2,FALSE)</f>
        <v>13</v>
      </c>
      <c r="N9" s="128">
        <f>VLOOKUP($B9&amp;"3",Data!$C:$G,4,FALSE)</f>
        <v>0.011666666666666667</v>
      </c>
      <c r="O9" s="129">
        <f>VLOOKUP($B9&amp;"3",Data!$C:$G,5,FALSE)</f>
        <v>4.75</v>
      </c>
      <c r="P9" s="130">
        <f t="shared" si="3"/>
        <v>0.002456140350877193</v>
      </c>
      <c r="R9" s="127">
        <f>VLOOKUP($B9&amp;"4",Data!$C:$G,2,FALSE)</f>
        <v>16</v>
      </c>
      <c r="S9" s="128">
        <f>VLOOKUP($B9&amp;"4",Data!$C:$G,4,FALSE)</f>
        <v>0.015752314814814813</v>
      </c>
      <c r="T9" s="129">
        <f>VLOOKUP($B9&amp;"4",Data!$C:$G,5,FALSE)</f>
        <v>5.6</v>
      </c>
      <c r="U9" s="130">
        <f t="shared" si="4"/>
        <v>0.0028129133597883595</v>
      </c>
      <c r="W9" s="133">
        <f t="shared" si="5"/>
        <v>17</v>
      </c>
      <c r="X9" s="156">
        <f t="shared" si="6"/>
        <v>0.04319444444444444</v>
      </c>
      <c r="Y9" s="130">
        <f t="shared" si="7"/>
        <v>0.002540849673202614</v>
      </c>
      <c r="AA9" s="2">
        <f t="shared" si="0"/>
        <v>7</v>
      </c>
    </row>
    <row r="10" spans="1:25" s="6" customFormat="1" ht="12.75">
      <c r="A10" s="5"/>
      <c r="C10" s="5"/>
      <c r="D10" s="10"/>
      <c r="E10" s="11"/>
      <c r="F10" s="10"/>
      <c r="H10" s="5"/>
      <c r="I10" s="10"/>
      <c r="J10" s="11"/>
      <c r="K10" s="10"/>
      <c r="M10" s="5"/>
      <c r="N10" s="10"/>
      <c r="O10" s="11"/>
      <c r="P10" s="10"/>
      <c r="R10" s="5"/>
      <c r="S10" s="10"/>
      <c r="T10" s="11"/>
      <c r="U10" s="10"/>
      <c r="W10" s="11"/>
      <c r="X10" s="10"/>
      <c r="Y10" s="10"/>
    </row>
    <row r="11" spans="1:25" s="6" customFormat="1" ht="12.75">
      <c r="A11" s="5"/>
      <c r="C11" s="5"/>
      <c r="D11" s="10"/>
      <c r="E11" s="11"/>
      <c r="F11" s="10"/>
      <c r="H11" s="5"/>
      <c r="I11" s="10"/>
      <c r="J11" s="11"/>
      <c r="K11" s="10"/>
      <c r="M11" s="5"/>
      <c r="N11" s="10"/>
      <c r="O11" s="11"/>
      <c r="P11" s="10"/>
      <c r="R11" s="5"/>
      <c r="S11" s="10"/>
      <c r="T11" s="11"/>
      <c r="U11" s="10"/>
      <c r="W11" s="24" t="s">
        <v>39</v>
      </c>
      <c r="X11" s="23" t="s">
        <v>39</v>
      </c>
      <c r="Y11" s="23" t="s">
        <v>40</v>
      </c>
    </row>
    <row r="12" spans="2:25" ht="12.75">
      <c r="B12" s="162" t="s">
        <v>29</v>
      </c>
      <c r="C12" s="158" t="s">
        <v>11</v>
      </c>
      <c r="D12" s="15" t="s">
        <v>7</v>
      </c>
      <c r="E12" s="17" t="s">
        <v>32</v>
      </c>
      <c r="F12" s="15" t="s">
        <v>8</v>
      </c>
      <c r="H12" s="9" t="s">
        <v>11</v>
      </c>
      <c r="I12" s="15" t="s">
        <v>7</v>
      </c>
      <c r="J12" s="17" t="s">
        <v>32</v>
      </c>
      <c r="K12" s="15" t="s">
        <v>8</v>
      </c>
      <c r="M12" s="9" t="s">
        <v>11</v>
      </c>
      <c r="N12" s="15" t="s">
        <v>7</v>
      </c>
      <c r="O12" s="17" t="s">
        <v>32</v>
      </c>
      <c r="P12" s="15" t="s">
        <v>8</v>
      </c>
      <c r="R12" s="9" t="s">
        <v>11</v>
      </c>
      <c r="S12" s="15" t="s">
        <v>7</v>
      </c>
      <c r="T12" s="17" t="s">
        <v>32</v>
      </c>
      <c r="U12" s="15" t="s">
        <v>8</v>
      </c>
      <c r="W12" s="20" t="s">
        <v>38</v>
      </c>
      <c r="X12" s="132" t="s">
        <v>7</v>
      </c>
      <c r="Y12" s="19" t="s">
        <v>8</v>
      </c>
    </row>
    <row r="13" spans="1:27" ht="12.75">
      <c r="A13" s="4"/>
      <c r="B13" s="160" t="str">
        <f>+'Team Selection'!F3</f>
        <v>Norval Hope</v>
      </c>
      <c r="C13" s="127">
        <f>VLOOKUP($B13&amp;"1",Data!$C:$G,2,FALSE)</f>
        <v>2</v>
      </c>
      <c r="D13" s="128">
        <f>VLOOKUP($B13&amp;"1",Data!$C:$G,4,FALSE)</f>
        <v>0.005706018518518519</v>
      </c>
      <c r="E13" s="129">
        <f>VLOOKUP($B13&amp;"1",Data!$C:$G,5,FALSE)</f>
        <v>2.3</v>
      </c>
      <c r="F13" s="130">
        <f>+D13/E13</f>
        <v>0.0024808776167471822</v>
      </c>
      <c r="H13" s="127">
        <f>VLOOKUP($B13&amp;"2",Data!$C:$G,2,FALSE)</f>
        <v>6</v>
      </c>
      <c r="I13" s="128">
        <f>VLOOKUP($B13&amp;"2",Data!$C:$G,4,FALSE)</f>
        <v>0.01005787037037037</v>
      </c>
      <c r="J13" s="129">
        <f>VLOOKUP($B13&amp;"2",Data!$C:$G,5,FALSE)</f>
        <v>3.95</v>
      </c>
      <c r="K13" s="130">
        <f>+I13/J13</f>
        <v>0.002546296296296296</v>
      </c>
      <c r="M13" s="127">
        <f>VLOOKUP($B13&amp;"3",Data!$C:$G,2,FALSE)</f>
        <v>11</v>
      </c>
      <c r="N13" s="128">
        <f>VLOOKUP($B13&amp;"3",Data!$C:$G,4,FALSE)</f>
        <v>0.011423611111111112</v>
      </c>
      <c r="O13" s="129">
        <f>VLOOKUP($B13&amp;"3",Data!$C:$G,5,FALSE)</f>
        <v>4.57</v>
      </c>
      <c r="P13" s="130">
        <f>+N13/O13</f>
        <v>0.0024996960855823</v>
      </c>
      <c r="R13" s="127">
        <f>VLOOKUP($B13&amp;"4",Data!$C:$G,2,FALSE)</f>
        <v>15</v>
      </c>
      <c r="S13" s="128">
        <f>VLOOKUP($B13&amp;"4",Data!$C:$G,4,FALSE)</f>
        <v>0.01329861111111111</v>
      </c>
      <c r="T13" s="129">
        <f>VLOOKUP($B13&amp;"4",Data!$C:$G,5,FALSE)</f>
        <v>4.8</v>
      </c>
      <c r="U13" s="130">
        <f>+S13/T13</f>
        <v>0.0027705439814814815</v>
      </c>
      <c r="W13" s="133">
        <f>SUM(E13,J13,O13,T13)</f>
        <v>15.620000000000001</v>
      </c>
      <c r="X13" s="156">
        <f>SUM(D13,I13,N13,S13)</f>
        <v>0.04048611111111111</v>
      </c>
      <c r="Y13" s="130">
        <f>SUM(D13,I13,N13,S13)/W13</f>
        <v>0.002591940532081377</v>
      </c>
      <c r="AA13" s="2">
        <f aca="true" t="shared" si="8" ref="AA13:AA19">RANK(Y13,Y$13:Y$19,1)</f>
        <v>3</v>
      </c>
    </row>
    <row r="14" spans="1:27" ht="12.75">
      <c r="A14" s="4"/>
      <c r="B14" s="118" t="str">
        <f>+'Team Selection'!F4</f>
        <v>Glenn Goodman</v>
      </c>
      <c r="C14" s="127">
        <f>VLOOKUP($B14&amp;"1",Data!$C:$G,2,FALSE)</f>
        <v>2</v>
      </c>
      <c r="D14" s="128">
        <f>VLOOKUP($B14&amp;"1",Data!$C:$G,4,FALSE)</f>
        <v>0.005891203703703703</v>
      </c>
      <c r="E14" s="129">
        <f>VLOOKUP($B14&amp;"1",Data!$C:$G,5,FALSE)</f>
        <v>2.3</v>
      </c>
      <c r="F14" s="130">
        <f aca="true" t="shared" si="9" ref="F14:F19">+D14/E14</f>
        <v>0.002561392914653784</v>
      </c>
      <c r="H14" s="127">
        <f>VLOOKUP($B14&amp;"2",Data!$C:$G,2,FALSE)</f>
        <v>6</v>
      </c>
      <c r="I14" s="128">
        <f>VLOOKUP($B14&amp;"2",Data!$C:$G,4,FALSE)</f>
        <v>0.010219907407407408</v>
      </c>
      <c r="J14" s="129">
        <f>VLOOKUP($B14&amp;"2",Data!$C:$G,5,FALSE)</f>
        <v>3.95</v>
      </c>
      <c r="K14" s="130">
        <f aca="true" t="shared" si="10" ref="K14:K19">+I14/J14</f>
        <v>0.0025873183309892173</v>
      </c>
      <c r="M14" s="127">
        <f>VLOOKUP($B14&amp;"3",Data!$C:$G,2,FALSE)</f>
        <v>11</v>
      </c>
      <c r="N14" s="128">
        <f>VLOOKUP($B14&amp;"3",Data!$C:$G,4,FALSE)</f>
        <v>0.011712962962962965</v>
      </c>
      <c r="O14" s="129">
        <f>VLOOKUP($B14&amp;"3",Data!$C:$G,5,FALSE)</f>
        <v>4.57</v>
      </c>
      <c r="P14" s="130">
        <f aca="true" t="shared" si="11" ref="P14:P19">+N14/O14</f>
        <v>0.0025630115892697953</v>
      </c>
      <c r="R14" s="127">
        <f>VLOOKUP($B14&amp;"4",Data!$C:$G,2,FALSE)</f>
        <v>15</v>
      </c>
      <c r="S14" s="128">
        <f>VLOOKUP($B14&amp;"4",Data!$C:$G,4,FALSE)</f>
        <v>0.013668981481481482</v>
      </c>
      <c r="T14" s="129">
        <f>VLOOKUP($B14&amp;"4",Data!$C:$G,5,FALSE)</f>
        <v>4.8</v>
      </c>
      <c r="U14" s="130">
        <f aca="true" t="shared" si="12" ref="U14:U19">+S14/T14</f>
        <v>0.0028477044753086422</v>
      </c>
      <c r="W14" s="133">
        <f aca="true" t="shared" si="13" ref="W14:W19">SUM(E14,J14,O14,T14)</f>
        <v>15.620000000000001</v>
      </c>
      <c r="X14" s="156">
        <f aca="true" t="shared" si="14" ref="X14:X19">SUM(D14,I14,N14,S14)</f>
        <v>0.04149305555555556</v>
      </c>
      <c r="Y14" s="130">
        <f aca="true" t="shared" si="15" ref="Y14:Y19">SUM(D14,I14,N14,S14)/W14</f>
        <v>0.0026564056053492674</v>
      </c>
      <c r="AA14" s="2">
        <f t="shared" si="8"/>
        <v>6</v>
      </c>
    </row>
    <row r="15" spans="1:27" ht="12.75">
      <c r="A15" s="4"/>
      <c r="B15" s="118" t="str">
        <f>+'Team Selection'!F5</f>
        <v>Steve Miller</v>
      </c>
      <c r="C15" s="127">
        <f>VLOOKUP($B15&amp;"1",Data!$C:$G,2,FALSE)</f>
        <v>2</v>
      </c>
      <c r="D15" s="128">
        <f>VLOOKUP($B15&amp;"1",Data!$C:$G,4,FALSE)</f>
        <v>0.005740740740740742</v>
      </c>
      <c r="E15" s="129">
        <f>VLOOKUP($B15&amp;"1",Data!$C:$G,5,FALSE)</f>
        <v>2.3</v>
      </c>
      <c r="F15" s="130">
        <f t="shared" si="9"/>
        <v>0.0024959742351046703</v>
      </c>
      <c r="H15" s="127">
        <f>VLOOKUP($B15&amp;"2",Data!$C:$G,2,FALSE)</f>
        <v>6</v>
      </c>
      <c r="I15" s="128">
        <f>VLOOKUP($B15&amp;"2",Data!$C:$G,4,FALSE)</f>
        <v>0.010011574074074074</v>
      </c>
      <c r="J15" s="129">
        <f>VLOOKUP($B15&amp;"2",Data!$C:$G,5,FALSE)</f>
        <v>3.95</v>
      </c>
      <c r="K15" s="130">
        <f t="shared" si="10"/>
        <v>0.0025345757149554614</v>
      </c>
      <c r="M15" s="127">
        <f>VLOOKUP($B15&amp;"3",Data!$C:$G,2,FALSE)</f>
        <v>11</v>
      </c>
      <c r="N15" s="128">
        <f>VLOOKUP($B15&amp;"3",Data!$C:$G,4,FALSE)</f>
        <v>0.01144675925925926</v>
      </c>
      <c r="O15" s="129">
        <f>VLOOKUP($B15&amp;"3",Data!$C:$G,5,FALSE)</f>
        <v>4.57</v>
      </c>
      <c r="P15" s="130">
        <f t="shared" si="11"/>
        <v>0.0025047613258773</v>
      </c>
      <c r="R15" s="127">
        <f>VLOOKUP($B15&amp;"4",Data!$C:$G,2,FALSE)</f>
        <v>15</v>
      </c>
      <c r="S15" s="128">
        <f>VLOOKUP($B15&amp;"4",Data!$C:$G,4,FALSE)</f>
        <v>0.013506944444444445</v>
      </c>
      <c r="T15" s="129">
        <f>VLOOKUP($B15&amp;"4",Data!$C:$G,5,FALSE)</f>
        <v>4.8</v>
      </c>
      <c r="U15" s="130">
        <f t="shared" si="12"/>
        <v>0.0028139467592592595</v>
      </c>
      <c r="W15" s="133">
        <f t="shared" si="13"/>
        <v>15.620000000000001</v>
      </c>
      <c r="X15" s="156">
        <f t="shared" si="14"/>
        <v>0.04070601851851852</v>
      </c>
      <c r="Y15" s="130">
        <f t="shared" si="15"/>
        <v>0.0026060191113008017</v>
      </c>
      <c r="AA15" s="2">
        <f t="shared" si="8"/>
        <v>4</v>
      </c>
    </row>
    <row r="16" spans="1:27" ht="12.75">
      <c r="A16" s="4"/>
      <c r="B16" s="118" t="str">
        <f>+'Team Selection'!F6</f>
        <v>Selim Ahmed</v>
      </c>
      <c r="C16" s="127">
        <f>VLOOKUP($B16&amp;"1",Data!$C:$G,2,FALSE)</f>
        <v>2</v>
      </c>
      <c r="D16" s="128">
        <f>VLOOKUP($B16&amp;"1",Data!$C:$G,4,FALSE)</f>
        <v>0.005625</v>
      </c>
      <c r="E16" s="129">
        <f>VLOOKUP($B16&amp;"1",Data!$C:$G,5,FALSE)</f>
        <v>2.3</v>
      </c>
      <c r="F16" s="130">
        <f t="shared" si="9"/>
        <v>0.0024456521739130437</v>
      </c>
      <c r="H16" s="127">
        <f>VLOOKUP($B16&amp;"2",Data!$C:$G,2,FALSE)</f>
        <v>6</v>
      </c>
      <c r="I16" s="128">
        <f>VLOOKUP($B16&amp;"2",Data!$C:$G,4,FALSE)</f>
        <v>0.010069444444444445</v>
      </c>
      <c r="J16" s="129">
        <f>VLOOKUP($B16&amp;"2",Data!$C:$G,5,FALSE)</f>
        <v>3.95</v>
      </c>
      <c r="K16" s="130">
        <f t="shared" si="10"/>
        <v>0.002549226441631505</v>
      </c>
      <c r="M16" s="127">
        <f>VLOOKUP($B16&amp;"3",Data!$C:$G,2,FALSE)</f>
        <v>13</v>
      </c>
      <c r="N16" s="128">
        <f>VLOOKUP($B16&amp;"3",Data!$C:$G,4,FALSE)</f>
        <v>0.015601851851851851</v>
      </c>
      <c r="O16" s="129">
        <f>VLOOKUP($B16&amp;"3",Data!$C:$G,5,FALSE)</f>
        <v>4.75</v>
      </c>
      <c r="P16" s="130">
        <f t="shared" si="11"/>
        <v>0.0032846003898635476</v>
      </c>
      <c r="R16" s="127">
        <f>VLOOKUP($B16&amp;"4",Data!$C:$G,2,FALSE)</f>
        <v>15</v>
      </c>
      <c r="S16" s="128">
        <f>VLOOKUP($B16&amp;"4",Data!$C:$G,4,FALSE)</f>
        <v>0.014467592592592593</v>
      </c>
      <c r="T16" s="129">
        <f>VLOOKUP($B16&amp;"4",Data!$C:$G,5,FALSE)</f>
        <v>4.8</v>
      </c>
      <c r="U16" s="130">
        <f t="shared" si="12"/>
        <v>0.0030140817901234567</v>
      </c>
      <c r="W16" s="133">
        <f t="shared" si="13"/>
        <v>15.8</v>
      </c>
      <c r="X16" s="156">
        <f t="shared" si="14"/>
        <v>0.04576388888888889</v>
      </c>
      <c r="Y16" s="130">
        <f t="shared" si="15"/>
        <v>0.002896448663853727</v>
      </c>
      <c r="AA16" s="2">
        <f t="shared" si="8"/>
        <v>7</v>
      </c>
    </row>
    <row r="17" spans="1:27" ht="12.75">
      <c r="A17" s="4"/>
      <c r="B17" s="118" t="str">
        <f>+'Team Selection'!F7</f>
        <v>Mark Deslandes</v>
      </c>
      <c r="C17" s="127">
        <f>VLOOKUP($B17&amp;"1",Data!$C:$G,2,FALSE)</f>
        <v>2</v>
      </c>
      <c r="D17" s="128">
        <f>VLOOKUP($B17&amp;"1",Data!$C:$G,4,FALSE)</f>
        <v>0.005439814814814815</v>
      </c>
      <c r="E17" s="129">
        <f>VLOOKUP($B17&amp;"1",Data!$C:$G,5,FALSE)</f>
        <v>2.3</v>
      </c>
      <c r="F17" s="130">
        <f t="shared" si="9"/>
        <v>0.0023651368760064413</v>
      </c>
      <c r="H17" s="127">
        <f>VLOOKUP($B17&amp;"2",Data!$C:$G,2,FALSE)</f>
        <v>6</v>
      </c>
      <c r="I17" s="128">
        <f>VLOOKUP($B17&amp;"2",Data!$C:$G,4,FALSE)</f>
        <v>0.00954861111111111</v>
      </c>
      <c r="J17" s="129">
        <f>VLOOKUP($B17&amp;"2",Data!$C:$G,5,FALSE)</f>
        <v>3.95</v>
      </c>
      <c r="K17" s="130">
        <f t="shared" si="10"/>
        <v>0.0024173699015471164</v>
      </c>
      <c r="M17" s="127">
        <f>VLOOKUP($B17&amp;"3",Data!$C:$G,2,FALSE)</f>
        <v>11</v>
      </c>
      <c r="N17" s="128">
        <f>VLOOKUP($B17&amp;"3",Data!$C:$G,4,FALSE)</f>
        <v>0.011157407407407408</v>
      </c>
      <c r="O17" s="129">
        <f>VLOOKUP($B17&amp;"3",Data!$C:$G,5,FALSE)</f>
        <v>4.57</v>
      </c>
      <c r="P17" s="130">
        <f t="shared" si="11"/>
        <v>0.0024414458221898045</v>
      </c>
      <c r="R17" s="127">
        <f>VLOOKUP($B17&amp;"4",Data!$C:$G,2,FALSE)</f>
        <v>15</v>
      </c>
      <c r="S17" s="128">
        <f>VLOOKUP($B17&amp;"4",Data!$C:$G,4,FALSE)</f>
        <v>0.012627314814814815</v>
      </c>
      <c r="T17" s="129">
        <f>VLOOKUP($B17&amp;"4",Data!$C:$G,5,FALSE)</f>
        <v>4.8</v>
      </c>
      <c r="U17" s="130">
        <f t="shared" si="12"/>
        <v>0.0026306905864197532</v>
      </c>
      <c r="W17" s="133">
        <f t="shared" si="13"/>
        <v>15.620000000000001</v>
      </c>
      <c r="X17" s="156">
        <f t="shared" si="14"/>
        <v>0.03877314814814815</v>
      </c>
      <c r="Y17" s="130">
        <f t="shared" si="15"/>
        <v>0.0024822758097405983</v>
      </c>
      <c r="AA17" s="2">
        <f t="shared" si="8"/>
        <v>1</v>
      </c>
    </row>
    <row r="18" spans="1:27" ht="12.75">
      <c r="A18" s="4"/>
      <c r="B18" s="118" t="str">
        <f>+'Team Selection'!F8</f>
        <v>Chris Wright</v>
      </c>
      <c r="C18" s="127">
        <f>VLOOKUP($B18&amp;"1",Data!$C:$G,2,FALSE)</f>
        <v>2</v>
      </c>
      <c r="D18" s="128">
        <f>VLOOKUP($B18&amp;"1",Data!$C:$G,4,FALSE)</f>
        <v>0.005555555555555556</v>
      </c>
      <c r="E18" s="129">
        <f>VLOOKUP($B18&amp;"1",Data!$C:$G,5,FALSE)</f>
        <v>2.3</v>
      </c>
      <c r="F18" s="130">
        <f t="shared" si="9"/>
        <v>0.002415458937198068</v>
      </c>
      <c r="H18" s="127">
        <f>VLOOKUP($B18&amp;"2",Data!$C:$G,2,FALSE)</f>
        <v>6</v>
      </c>
      <c r="I18" s="128">
        <f>VLOOKUP($B18&amp;"2",Data!$C:$G,4,FALSE)</f>
        <v>0.009814814814814814</v>
      </c>
      <c r="J18" s="129">
        <f>VLOOKUP($B18&amp;"2",Data!$C:$G,5,FALSE)</f>
        <v>3.95</v>
      </c>
      <c r="K18" s="130">
        <f t="shared" si="10"/>
        <v>0.002484763244256915</v>
      </c>
      <c r="M18" s="127">
        <f>VLOOKUP($B18&amp;"3",Data!$C:$G,2,FALSE)</f>
        <v>9</v>
      </c>
      <c r="N18" s="128">
        <f>VLOOKUP($B18&amp;"3",Data!$C:$G,4,FALSE)</f>
        <v>0.011307870370370371</v>
      </c>
      <c r="O18" s="129">
        <f>VLOOKUP($B18&amp;"3",Data!$C:$G,5,FALSE)</f>
        <v>4.5</v>
      </c>
      <c r="P18" s="130">
        <f t="shared" si="11"/>
        <v>0.002512860082304527</v>
      </c>
      <c r="R18" s="127">
        <f>VLOOKUP($B18&amp;"4",Data!$C:$G,2,FALSE)</f>
        <v>15</v>
      </c>
      <c r="S18" s="128">
        <f>VLOOKUP($B18&amp;"4",Data!$C:$G,4,FALSE)</f>
        <v>0.013460648148148147</v>
      </c>
      <c r="T18" s="129">
        <f>VLOOKUP($B18&amp;"4",Data!$C:$G,5,FALSE)</f>
        <v>4.8</v>
      </c>
      <c r="U18" s="130">
        <f t="shared" si="12"/>
        <v>0.002804301697530864</v>
      </c>
      <c r="W18" s="133">
        <f t="shared" si="13"/>
        <v>15.55</v>
      </c>
      <c r="X18" s="156">
        <f t="shared" si="14"/>
        <v>0.04013888888888889</v>
      </c>
      <c r="Y18" s="130">
        <f t="shared" si="15"/>
        <v>0.0025812790282243657</v>
      </c>
      <c r="AA18" s="2">
        <f t="shared" si="8"/>
        <v>2</v>
      </c>
    </row>
    <row r="19" spans="1:27" ht="12.75">
      <c r="A19" s="4"/>
      <c r="B19" s="118" t="str">
        <f>+'Team Selection'!F9</f>
        <v>Simon Duffy</v>
      </c>
      <c r="C19" s="127">
        <f>VLOOKUP($B19&amp;"1",Data!$C:$G,2,FALSE)</f>
        <v>2</v>
      </c>
      <c r="D19" s="128">
        <f>VLOOKUP($B19&amp;"1",Data!$C:$G,4,FALSE)</f>
        <v>0.005451388888888888</v>
      </c>
      <c r="E19" s="129">
        <f>VLOOKUP($B19&amp;"1",Data!$C:$G,5,FALSE)</f>
        <v>2.3</v>
      </c>
      <c r="F19" s="130">
        <f t="shared" si="9"/>
        <v>0.0023701690821256037</v>
      </c>
      <c r="H19" s="127">
        <f>VLOOKUP($B19&amp;"2",Data!$C:$G,2,FALSE)</f>
        <v>6</v>
      </c>
      <c r="I19" s="128">
        <f>VLOOKUP($B19&amp;"2",Data!$C:$G,4,FALSE)</f>
        <v>0.0096875</v>
      </c>
      <c r="J19" s="129">
        <f>VLOOKUP($B19&amp;"2",Data!$C:$G,5,FALSE)</f>
        <v>3.95</v>
      </c>
      <c r="K19" s="130">
        <f t="shared" si="10"/>
        <v>0.0024525316455696203</v>
      </c>
      <c r="M19" s="127">
        <f>VLOOKUP($B19&amp;"3",Data!$C:$G,2,FALSE)</f>
        <v>9</v>
      </c>
      <c r="N19" s="128">
        <f>VLOOKUP($B19&amp;"3",Data!$C:$G,4,FALSE)</f>
        <v>0.011122685185185185</v>
      </c>
      <c r="O19" s="129">
        <f>VLOOKUP($B19&amp;"3",Data!$C:$G,5,FALSE)</f>
        <v>4.5</v>
      </c>
      <c r="P19" s="130">
        <f t="shared" si="11"/>
        <v>0.002471707818930041</v>
      </c>
      <c r="R19" s="127">
        <f>VLOOKUP($B19&amp;"4",Data!$C:$G,2,FALSE)</f>
        <v>15</v>
      </c>
      <c r="S19" s="128">
        <f>VLOOKUP($B19&amp;"4",Data!$C:$G,4,FALSE)</f>
        <v>0.014525462962962964</v>
      </c>
      <c r="T19" s="129">
        <f>VLOOKUP($B19&amp;"4",Data!$C:$G,5,FALSE)</f>
        <v>4.8</v>
      </c>
      <c r="U19" s="130">
        <f t="shared" si="12"/>
        <v>0.003026138117283951</v>
      </c>
      <c r="W19" s="133">
        <f t="shared" si="13"/>
        <v>15.55</v>
      </c>
      <c r="X19" s="156">
        <f t="shared" si="14"/>
        <v>0.04078703703703704</v>
      </c>
      <c r="Y19" s="130">
        <f t="shared" si="15"/>
        <v>0.002622960581159938</v>
      </c>
      <c r="AA19" s="2">
        <f t="shared" si="8"/>
        <v>5</v>
      </c>
    </row>
    <row r="20" spans="1:25" ht="12.75">
      <c r="A20" s="5"/>
      <c r="B20" s="6"/>
      <c r="C20" s="5"/>
      <c r="D20" s="10"/>
      <c r="E20" s="11"/>
      <c r="F20" s="10"/>
      <c r="G20" s="6"/>
      <c r="H20" s="5"/>
      <c r="I20" s="10"/>
      <c r="J20" s="11"/>
      <c r="K20" s="10"/>
      <c r="L20" s="6"/>
      <c r="M20" s="5"/>
      <c r="N20" s="10"/>
      <c r="O20" s="11"/>
      <c r="P20" s="10"/>
      <c r="Q20" s="6"/>
      <c r="R20" s="5"/>
      <c r="S20" s="10"/>
      <c r="T20" s="11"/>
      <c r="U20" s="10"/>
      <c r="X20" s="10"/>
      <c r="Y20" s="10"/>
    </row>
    <row r="21" spans="1:25" ht="12.75">
      <c r="A21" s="5"/>
      <c r="B21" s="6"/>
      <c r="C21" s="5"/>
      <c r="D21" s="10"/>
      <c r="E21" s="11"/>
      <c r="F21" s="10"/>
      <c r="G21" s="6"/>
      <c r="H21" s="5"/>
      <c r="I21" s="10"/>
      <c r="J21" s="11"/>
      <c r="K21" s="10"/>
      <c r="L21" s="6"/>
      <c r="M21" s="5"/>
      <c r="N21" s="10"/>
      <c r="O21" s="11"/>
      <c r="P21" s="10"/>
      <c r="Q21" s="6"/>
      <c r="R21" s="5"/>
      <c r="S21" s="10"/>
      <c r="T21" s="11"/>
      <c r="U21" s="10"/>
      <c r="W21" s="24" t="s">
        <v>39</v>
      </c>
      <c r="X21" s="23" t="s">
        <v>39</v>
      </c>
      <c r="Y21" s="23" t="s">
        <v>40</v>
      </c>
    </row>
    <row r="22" spans="2:25" ht="12.75">
      <c r="B22" s="162" t="s">
        <v>30</v>
      </c>
      <c r="C22" s="158" t="s">
        <v>11</v>
      </c>
      <c r="D22" s="15" t="s">
        <v>7</v>
      </c>
      <c r="E22" s="17" t="s">
        <v>32</v>
      </c>
      <c r="F22" s="15" t="s">
        <v>8</v>
      </c>
      <c r="H22" s="9" t="s">
        <v>11</v>
      </c>
      <c r="I22" s="15" t="s">
        <v>7</v>
      </c>
      <c r="J22" s="17" t="s">
        <v>32</v>
      </c>
      <c r="K22" s="15" t="s">
        <v>8</v>
      </c>
      <c r="M22" s="9" t="s">
        <v>11</v>
      </c>
      <c r="N22" s="15" t="s">
        <v>7</v>
      </c>
      <c r="O22" s="17" t="s">
        <v>32</v>
      </c>
      <c r="P22" s="15" t="s">
        <v>8</v>
      </c>
      <c r="R22" s="9" t="s">
        <v>11</v>
      </c>
      <c r="S22" s="15" t="s">
        <v>7</v>
      </c>
      <c r="T22" s="17" t="s">
        <v>32</v>
      </c>
      <c r="U22" s="15" t="s">
        <v>8</v>
      </c>
      <c r="W22" s="20" t="s">
        <v>38</v>
      </c>
      <c r="X22" s="132" t="s">
        <v>7</v>
      </c>
      <c r="Y22" s="19" t="s">
        <v>8</v>
      </c>
    </row>
    <row r="23" spans="1:27" ht="12.75">
      <c r="A23" s="4"/>
      <c r="B23" s="160" t="str">
        <f>+'Team Selection'!H3</f>
        <v>Thai Phan</v>
      </c>
      <c r="C23" s="127">
        <f>VLOOKUP($B23&amp;"1",Data!$C:$G,2,FALSE)</f>
        <v>1</v>
      </c>
      <c r="D23" s="128">
        <f>VLOOKUP($B23&amp;"1",Data!$C:$G,4,FALSE)</f>
        <v>0.005775462962962962</v>
      </c>
      <c r="E23" s="129">
        <f>VLOOKUP($B23&amp;"1",Data!$C:$G,5,FALSE)</f>
        <v>2.3</v>
      </c>
      <c r="F23" s="130">
        <f>+D23/E23</f>
        <v>0.0025110708534621575</v>
      </c>
      <c r="H23" s="127">
        <f>VLOOKUP($B23&amp;"2",Data!$C:$G,2,FALSE)</f>
        <v>5</v>
      </c>
      <c r="I23" s="128">
        <f>VLOOKUP($B23&amp;"2",Data!$C:$G,4,FALSE)</f>
        <v>0.00954861111111111</v>
      </c>
      <c r="J23" s="129">
        <f>VLOOKUP($B23&amp;"2",Data!$C:$G,5,FALSE)</f>
        <v>3.75</v>
      </c>
      <c r="K23" s="130">
        <f>+I23/J23</f>
        <v>0.002546296296296296</v>
      </c>
      <c r="M23" s="127">
        <f>VLOOKUP($B23&amp;"3",Data!$C:$G,2,FALSE)</f>
        <v>9</v>
      </c>
      <c r="N23" s="128">
        <f>VLOOKUP($B23&amp;"3",Data!$C:$G,4,FALSE)</f>
        <v>0.011689814814814814</v>
      </c>
      <c r="O23" s="129">
        <f>VLOOKUP($B23&amp;"3",Data!$C:$G,5,FALSE)</f>
        <v>4.5</v>
      </c>
      <c r="P23" s="130">
        <f>+N23/O23</f>
        <v>0.002597736625514403</v>
      </c>
      <c r="R23" s="127">
        <f>VLOOKUP($B23&amp;"4",Data!$C:$G,2,FALSE)</f>
        <v>14</v>
      </c>
      <c r="S23" s="128">
        <f>VLOOKUP($B23&amp;"4",Data!$C:$G,4,FALSE)</f>
        <v>0.01085648148148148</v>
      </c>
      <c r="T23" s="129">
        <f>VLOOKUP($B23&amp;"4",Data!$C:$G,5,FALSE)</f>
        <v>4.2</v>
      </c>
      <c r="U23" s="130">
        <f>+S23/T23</f>
        <v>0.0025848765432098762</v>
      </c>
      <c r="W23" s="133">
        <f>SUM(E23,J23,O23,T23)</f>
        <v>14.75</v>
      </c>
      <c r="X23" s="155">
        <f>SUM(D23,I23,N23,S23)</f>
        <v>0.03787037037037037</v>
      </c>
      <c r="Y23" s="130">
        <f>SUM(D23,I23,N23,S23)/W23</f>
        <v>0.0025674827369742623</v>
      </c>
      <c r="AA23" s="2">
        <f aca="true" t="shared" si="16" ref="AA23:AA29">RANK(Y23,Y$23:Y$29,1)</f>
        <v>1</v>
      </c>
    </row>
    <row r="24" spans="1:27" ht="12.75">
      <c r="A24" s="4"/>
      <c r="B24" s="118" t="str">
        <f>+'Team Selection'!H4</f>
        <v>Matt Clark</v>
      </c>
      <c r="C24" s="127">
        <f>VLOOKUP($B24&amp;"1",Data!$C:$G,2,FALSE)</f>
        <v>3</v>
      </c>
      <c r="D24" s="128">
        <f>VLOOKUP($B24&amp;"1",Data!$C:$G,4,FALSE)</f>
        <v>0.0060648148148148145</v>
      </c>
      <c r="E24" s="129">
        <f>VLOOKUP($B24&amp;"1",Data!$C:$G,5,FALSE)</f>
        <v>2.3</v>
      </c>
      <c r="F24" s="130">
        <f aca="true" t="shared" si="17" ref="F24:F29">+D24/E24</f>
        <v>0.002636876006441224</v>
      </c>
      <c r="H24" s="127">
        <f>VLOOKUP($B24&amp;"2",Data!$C:$G,2,FALSE)</f>
        <v>7</v>
      </c>
      <c r="I24" s="128">
        <f>VLOOKUP($B24&amp;"2",Data!$C:$G,4,FALSE)</f>
        <v>0.009942129629629629</v>
      </c>
      <c r="J24" s="129">
        <f>VLOOKUP($B24&amp;"2",Data!$C:$G,5,FALSE)</f>
        <v>3.7</v>
      </c>
      <c r="K24" s="130">
        <f aca="true" t="shared" si="18" ref="K24:K29">+I24/J24</f>
        <v>0.0026870620620620617</v>
      </c>
      <c r="M24" s="127">
        <f>VLOOKUP($B24&amp;"3",Data!$C:$G,2,FALSE)</f>
        <v>9</v>
      </c>
      <c r="N24" s="128">
        <f>VLOOKUP($B24&amp;"3",Data!$C:$G,4,FALSE)</f>
        <v>0.011967592592592592</v>
      </c>
      <c r="O24" s="129">
        <f>VLOOKUP($B24&amp;"3",Data!$C:$G,5,FALSE)</f>
        <v>4.5</v>
      </c>
      <c r="P24" s="130">
        <f aca="true" t="shared" si="19" ref="P24:P29">+N24/O24</f>
        <v>0.0026594650205761317</v>
      </c>
      <c r="R24" s="127">
        <f>VLOOKUP($B24&amp;"4",Data!$C:$G,2,FALSE)</f>
        <v>14</v>
      </c>
      <c r="S24" s="128">
        <f>VLOOKUP($B24&amp;"4",Data!$C:$G,4,FALSE)</f>
        <v>0.011828703703703704</v>
      </c>
      <c r="T24" s="129">
        <f>VLOOKUP($B24&amp;"4",Data!$C:$G,5,FALSE)</f>
        <v>4.2</v>
      </c>
      <c r="U24" s="130">
        <f aca="true" t="shared" si="20" ref="U24:U29">+S24/T24</f>
        <v>0.002816358024691358</v>
      </c>
      <c r="W24" s="133">
        <f aca="true" t="shared" si="21" ref="W24:W29">SUM(E24,J24,O24,T24)</f>
        <v>14.7</v>
      </c>
      <c r="X24" s="156">
        <f aca="true" t="shared" si="22" ref="X24:X29">SUM(D24,I24,N24,S24)</f>
        <v>0.039803240740740736</v>
      </c>
      <c r="Y24" s="130">
        <f aca="true" t="shared" si="23" ref="Y24:Y29">SUM(D24,I24,N24,S24)/W24</f>
        <v>0.0027077034517510707</v>
      </c>
      <c r="AA24" s="2">
        <f t="shared" si="16"/>
        <v>4</v>
      </c>
    </row>
    <row r="25" spans="1:27" ht="12.75">
      <c r="A25" s="4"/>
      <c r="B25" s="118" t="str">
        <f>+'Team Selection'!H5</f>
        <v>Rory Heddles</v>
      </c>
      <c r="C25" s="127">
        <f>VLOOKUP($B25&amp;"1",Data!$C:$G,2,FALSE)</f>
        <v>3</v>
      </c>
      <c r="D25" s="128">
        <f>VLOOKUP($B25&amp;"1",Data!$C:$G,4,FALSE)</f>
        <v>0.005740740740740742</v>
      </c>
      <c r="E25" s="129">
        <f>VLOOKUP($B25&amp;"1",Data!$C:$G,5,FALSE)</f>
        <v>2.3</v>
      </c>
      <c r="F25" s="130">
        <f t="shared" si="17"/>
        <v>0.0024959742351046703</v>
      </c>
      <c r="H25" s="127">
        <f>VLOOKUP($B25&amp;"2",Data!$C:$G,2,FALSE)</f>
        <v>7</v>
      </c>
      <c r="I25" s="128">
        <f>VLOOKUP($B25&amp;"2",Data!$C:$G,4,FALSE)</f>
        <v>0.00949074074074074</v>
      </c>
      <c r="J25" s="129">
        <f>VLOOKUP($B25&amp;"2",Data!$C:$G,5,FALSE)</f>
        <v>3.7</v>
      </c>
      <c r="K25" s="130">
        <f t="shared" si="18"/>
        <v>0.002565065065065065</v>
      </c>
      <c r="M25" s="127">
        <f>VLOOKUP($B25&amp;"3",Data!$C:$G,2,FALSE)</f>
        <v>9</v>
      </c>
      <c r="N25" s="128">
        <f>VLOOKUP($B25&amp;"3",Data!$C:$G,4,FALSE)</f>
        <v>0.01175925925925926</v>
      </c>
      <c r="O25" s="129">
        <f>VLOOKUP($B25&amp;"3",Data!$C:$G,5,FALSE)</f>
        <v>4.5</v>
      </c>
      <c r="P25" s="130">
        <f t="shared" si="19"/>
        <v>0.0026131687242798352</v>
      </c>
      <c r="R25" s="127">
        <f>VLOOKUP($B25&amp;"4",Data!$C:$G,2,FALSE)</f>
        <v>14</v>
      </c>
      <c r="S25" s="128">
        <f>VLOOKUP($B25&amp;"4",Data!$C:$G,4,FALSE)</f>
        <v>0.011087962962962964</v>
      </c>
      <c r="T25" s="129">
        <f>VLOOKUP($B25&amp;"4",Data!$C:$G,5,FALSE)</f>
        <v>4.2</v>
      </c>
      <c r="U25" s="130">
        <f t="shared" si="20"/>
        <v>0.0026399911816578484</v>
      </c>
      <c r="W25" s="133">
        <f t="shared" si="21"/>
        <v>14.7</v>
      </c>
      <c r="X25" s="156">
        <f t="shared" si="22"/>
        <v>0.038078703703703705</v>
      </c>
      <c r="Y25" s="130">
        <f t="shared" si="23"/>
        <v>0.002590388007054674</v>
      </c>
      <c r="AA25" s="2">
        <f t="shared" si="16"/>
        <v>2</v>
      </c>
    </row>
    <row r="26" spans="1:27" ht="12.75">
      <c r="A26" s="4"/>
      <c r="B26" s="118" t="str">
        <f>+'Team Selection'!H6</f>
        <v>Kirsten Jackson</v>
      </c>
      <c r="C26" s="127">
        <f>VLOOKUP($B26&amp;"1",Data!$C:$G,2,FALSE)</f>
        <v>1</v>
      </c>
      <c r="D26" s="128">
        <f>VLOOKUP($B26&amp;"1",Data!$C:$G,4,FALSE)</f>
        <v>0.006087962962962964</v>
      </c>
      <c r="E26" s="129">
        <f>VLOOKUP($B26&amp;"1",Data!$C:$G,5,FALSE)</f>
        <v>2.3</v>
      </c>
      <c r="F26" s="130">
        <f t="shared" si="17"/>
        <v>0.0026469404186795498</v>
      </c>
      <c r="H26" s="127">
        <f>VLOOKUP($B26&amp;"2",Data!$C:$G,2,FALSE)</f>
        <v>5</v>
      </c>
      <c r="I26" s="128">
        <f>VLOOKUP($B26&amp;"2",Data!$C:$G,4,FALSE)</f>
        <v>0.009953703703703704</v>
      </c>
      <c r="J26" s="129">
        <f>VLOOKUP($B26&amp;"2",Data!$C:$G,5,FALSE)</f>
        <v>3.75</v>
      </c>
      <c r="K26" s="130">
        <f t="shared" si="18"/>
        <v>0.002654320987654321</v>
      </c>
      <c r="M26" s="127">
        <f>VLOOKUP($B26&amp;"3",Data!$C:$G,2,FALSE)</f>
        <v>11</v>
      </c>
      <c r="N26" s="128">
        <f>VLOOKUP($B26&amp;"3",Data!$C:$G,4,FALSE)</f>
        <v>0.0125</v>
      </c>
      <c r="O26" s="129">
        <f>VLOOKUP($B26&amp;"3",Data!$C:$G,5,FALSE)</f>
        <v>4.57</v>
      </c>
      <c r="P26" s="130">
        <f t="shared" si="19"/>
        <v>0.002735229759299781</v>
      </c>
      <c r="R26" s="127">
        <f>VLOOKUP($B26&amp;"4",Data!$C:$G,2,FALSE)</f>
        <v>14</v>
      </c>
      <c r="S26" s="128">
        <f>VLOOKUP($B26&amp;"4",Data!$C:$G,4,FALSE)</f>
        <v>0.011805555555555555</v>
      </c>
      <c r="T26" s="129">
        <f>VLOOKUP($B26&amp;"4",Data!$C:$G,5,FALSE)</f>
        <v>4.2</v>
      </c>
      <c r="U26" s="130">
        <f t="shared" si="20"/>
        <v>0.0028108465608465607</v>
      </c>
      <c r="W26" s="133">
        <f t="shared" si="21"/>
        <v>14.82</v>
      </c>
      <c r="X26" s="156">
        <f t="shared" si="22"/>
        <v>0.04034722222222223</v>
      </c>
      <c r="Y26" s="130">
        <f t="shared" si="23"/>
        <v>0.0027224846303793675</v>
      </c>
      <c r="AA26" s="2">
        <f t="shared" si="16"/>
        <v>5</v>
      </c>
    </row>
    <row r="27" spans="1:27" ht="12.75">
      <c r="A27" s="4"/>
      <c r="B27" s="118" t="str">
        <f>+'Team Selection'!H7</f>
        <v>Gary O'Dwyer</v>
      </c>
      <c r="C27" s="127">
        <f>VLOOKUP($B27&amp;"1",Data!$C:$G,2,FALSE)</f>
        <v>1</v>
      </c>
      <c r="D27" s="128">
        <f>VLOOKUP($B27&amp;"1",Data!$C:$G,4,FALSE)</f>
        <v>0.006203703703703704</v>
      </c>
      <c r="E27" s="129">
        <f>VLOOKUP($B27&amp;"1",Data!$C:$G,5,FALSE)</f>
        <v>2.3</v>
      </c>
      <c r="F27" s="130">
        <f t="shared" si="17"/>
        <v>0.002697262479871176</v>
      </c>
      <c r="H27" s="127">
        <f>VLOOKUP($B27&amp;"2",Data!$C:$G,2,FALSE)</f>
        <v>5</v>
      </c>
      <c r="I27" s="128">
        <f>VLOOKUP($B27&amp;"2",Data!$C:$G,4,FALSE)</f>
        <v>0.01005787037037037</v>
      </c>
      <c r="J27" s="129">
        <f>VLOOKUP($B27&amp;"2",Data!$C:$G,5,FALSE)</f>
        <v>3.75</v>
      </c>
      <c r="K27" s="130">
        <f t="shared" si="18"/>
        <v>0.0026820987654320987</v>
      </c>
      <c r="M27" s="127">
        <f>VLOOKUP($B27&amp;"3",Data!$C:$G,2,FALSE)</f>
        <v>9</v>
      </c>
      <c r="N27" s="128">
        <f>VLOOKUP($B27&amp;"3",Data!$C:$G,4,FALSE)</f>
        <v>0.01244212962962963</v>
      </c>
      <c r="O27" s="129">
        <f>VLOOKUP($B27&amp;"3",Data!$C:$G,5,FALSE)</f>
        <v>4.5</v>
      </c>
      <c r="P27" s="130">
        <f t="shared" si="19"/>
        <v>0.002764917695473251</v>
      </c>
      <c r="R27" s="127">
        <f>VLOOKUP($B27&amp;"4",Data!$C:$G,2,FALSE)</f>
        <v>14</v>
      </c>
      <c r="S27" s="128">
        <f>VLOOKUP($B27&amp;"4",Data!$C:$G,4,FALSE)</f>
        <v>0.011481481481481483</v>
      </c>
      <c r="T27" s="129">
        <f>VLOOKUP($B27&amp;"4",Data!$C:$G,5,FALSE)</f>
        <v>4.2</v>
      </c>
      <c r="U27" s="130">
        <f t="shared" si="20"/>
        <v>0.002733686067019401</v>
      </c>
      <c r="W27" s="133">
        <f t="shared" si="21"/>
        <v>14.75</v>
      </c>
      <c r="X27" s="156">
        <f t="shared" si="22"/>
        <v>0.040185185185185185</v>
      </c>
      <c r="Y27" s="130">
        <f t="shared" si="23"/>
        <v>0.002724419334588826</v>
      </c>
      <c r="AA27" s="2">
        <f t="shared" si="16"/>
        <v>6</v>
      </c>
    </row>
    <row r="28" spans="1:27" ht="12.75">
      <c r="A28" s="4"/>
      <c r="B28" s="118" t="str">
        <f>+'Team Selection'!H8</f>
        <v>Terry Wright</v>
      </c>
      <c r="C28" s="127">
        <f>VLOOKUP($B28&amp;"1",Data!$C:$G,2,FALSE)</f>
        <v>1</v>
      </c>
      <c r="D28" s="128">
        <f>VLOOKUP($B28&amp;"1",Data!$C:$G,4,FALSE)</f>
        <v>0.006296296296296296</v>
      </c>
      <c r="E28" s="129">
        <f>VLOOKUP($B28&amp;"1",Data!$C:$G,5,FALSE)</f>
        <v>2.3</v>
      </c>
      <c r="F28" s="130">
        <f t="shared" si="17"/>
        <v>0.002737520128824477</v>
      </c>
      <c r="H28" s="127">
        <f>VLOOKUP($B28&amp;"2",Data!$C:$G,2,FALSE)</f>
        <v>5</v>
      </c>
      <c r="I28" s="128">
        <f>VLOOKUP($B28&amp;"2",Data!$C:$G,4,FALSE)</f>
        <v>0.01025462962962963</v>
      </c>
      <c r="J28" s="129">
        <f>VLOOKUP($B28&amp;"2",Data!$C:$G,5,FALSE)</f>
        <v>3.75</v>
      </c>
      <c r="K28" s="130">
        <f t="shared" si="18"/>
        <v>0.0027345679012345677</v>
      </c>
      <c r="M28" s="127">
        <f>VLOOKUP($B28&amp;"3",Data!$C:$G,2,FALSE)</f>
        <v>11</v>
      </c>
      <c r="N28" s="128">
        <f>VLOOKUP($B28&amp;"3",Data!$C:$G,4,FALSE)</f>
        <v>0.012453703703703703</v>
      </c>
      <c r="O28" s="129">
        <f>VLOOKUP($B28&amp;"3",Data!$C:$G,5,FALSE)</f>
        <v>4.57</v>
      </c>
      <c r="P28" s="130">
        <f t="shared" si="19"/>
        <v>0.0027250992787097817</v>
      </c>
      <c r="R28" s="127">
        <f>VLOOKUP($B28&amp;"4",Data!$C:$G,2,FALSE)</f>
        <v>14</v>
      </c>
      <c r="S28" s="128">
        <f>VLOOKUP($B28&amp;"4",Data!$C:$G,4,FALSE)</f>
        <v>0.011770833333333333</v>
      </c>
      <c r="T28" s="129">
        <f>VLOOKUP($B28&amp;"4",Data!$C:$G,5,FALSE)</f>
        <v>4.2</v>
      </c>
      <c r="U28" s="130">
        <f t="shared" si="20"/>
        <v>0.0028025793650793647</v>
      </c>
      <c r="W28" s="133">
        <f t="shared" si="21"/>
        <v>14.82</v>
      </c>
      <c r="X28" s="156">
        <f t="shared" si="22"/>
        <v>0.040775462962962965</v>
      </c>
      <c r="Y28" s="130">
        <f t="shared" si="23"/>
        <v>0.002751380766731644</v>
      </c>
      <c r="AA28" s="2">
        <f t="shared" si="16"/>
        <v>7</v>
      </c>
    </row>
    <row r="29" spans="1:27" ht="12.75">
      <c r="A29" s="4"/>
      <c r="B29" s="118" t="str">
        <f>+'Team Selection'!H9</f>
        <v>Dave Percival</v>
      </c>
      <c r="C29" s="127">
        <f>VLOOKUP($B29&amp;"1",Data!$C:$G,2,FALSE)</f>
        <v>1</v>
      </c>
      <c r="D29" s="128">
        <f>VLOOKUP($B29&amp;"1",Data!$C:$G,4,FALSE)</f>
        <v>0.006076388888888889</v>
      </c>
      <c r="E29" s="129">
        <f>VLOOKUP($B29&amp;"1",Data!$C:$G,5,FALSE)</f>
        <v>2.3</v>
      </c>
      <c r="F29" s="130">
        <f t="shared" si="17"/>
        <v>0.002641908212560387</v>
      </c>
      <c r="H29" s="127">
        <f>VLOOKUP($B29&amp;"2",Data!$C:$G,2,FALSE)</f>
        <v>5</v>
      </c>
      <c r="I29" s="128">
        <f>VLOOKUP($B29&amp;"2",Data!$C:$G,4,FALSE)</f>
        <v>0.009907407407407408</v>
      </c>
      <c r="J29" s="129">
        <f>VLOOKUP($B29&amp;"2",Data!$C:$G,5,FALSE)</f>
        <v>3.75</v>
      </c>
      <c r="K29" s="130">
        <f t="shared" si="18"/>
        <v>0.0026419753086419757</v>
      </c>
      <c r="M29" s="127">
        <f>VLOOKUP($B29&amp;"3",Data!$C:$G,2,FALSE)</f>
        <v>11</v>
      </c>
      <c r="N29" s="128">
        <f>VLOOKUP($B29&amp;"3",Data!$C:$G,4,FALSE)</f>
        <v>0.012013888888888888</v>
      </c>
      <c r="O29" s="129">
        <f>VLOOKUP($B29&amp;"3",Data!$C:$G,5,FALSE)</f>
        <v>4.57</v>
      </c>
      <c r="P29" s="130">
        <f t="shared" si="19"/>
        <v>0.0026288597131047895</v>
      </c>
      <c r="R29" s="127">
        <f>VLOOKUP($B29&amp;"4",Data!$C:$G,2,FALSE)</f>
        <v>14</v>
      </c>
      <c r="S29" s="128">
        <f>VLOOKUP($B29&amp;"4",Data!$C:$G,4,FALSE)</f>
        <v>0.011458333333333334</v>
      </c>
      <c r="T29" s="129">
        <f>VLOOKUP($B29&amp;"4",Data!$C:$G,5,FALSE)</f>
        <v>4.2</v>
      </c>
      <c r="U29" s="130">
        <f t="shared" si="20"/>
        <v>0.0027281746031746035</v>
      </c>
      <c r="W29" s="133">
        <f t="shared" si="21"/>
        <v>14.82</v>
      </c>
      <c r="X29" s="156">
        <f t="shared" si="22"/>
        <v>0.03945601851851852</v>
      </c>
      <c r="Y29" s="130">
        <f t="shared" si="23"/>
        <v>0.002662349427700305</v>
      </c>
      <c r="AA29" s="2">
        <f t="shared" si="16"/>
        <v>3</v>
      </c>
    </row>
    <row r="30" spans="1:25" ht="12.75">
      <c r="A30" s="5"/>
      <c r="B30" s="6"/>
      <c r="C30" s="5"/>
      <c r="D30" s="10"/>
      <c r="E30" s="11"/>
      <c r="F30" s="10"/>
      <c r="G30" s="6"/>
      <c r="H30" s="5"/>
      <c r="I30" s="10"/>
      <c r="J30" s="11"/>
      <c r="K30" s="10"/>
      <c r="L30" s="6"/>
      <c r="M30" s="5"/>
      <c r="N30" s="10"/>
      <c r="O30" s="11"/>
      <c r="P30" s="10"/>
      <c r="Q30" s="6"/>
      <c r="R30" s="5"/>
      <c r="S30" s="10"/>
      <c r="T30" s="11"/>
      <c r="U30" s="10"/>
      <c r="V30" s="6"/>
      <c r="X30" s="10"/>
      <c r="Y30" s="10"/>
    </row>
    <row r="31" spans="1:25" ht="12.75">
      <c r="A31" s="5"/>
      <c r="B31" s="6"/>
      <c r="C31" s="5"/>
      <c r="D31" s="10"/>
      <c r="E31" s="11"/>
      <c r="F31" s="10"/>
      <c r="G31" s="6"/>
      <c r="H31" s="5"/>
      <c r="I31" s="10"/>
      <c r="J31" s="11"/>
      <c r="K31" s="10"/>
      <c r="L31" s="6"/>
      <c r="M31" s="5"/>
      <c r="N31" s="10"/>
      <c r="O31" s="11"/>
      <c r="P31" s="10"/>
      <c r="Q31" s="6"/>
      <c r="R31" s="5"/>
      <c r="S31" s="10"/>
      <c r="T31" s="11"/>
      <c r="U31" s="10"/>
      <c r="V31" s="6"/>
      <c r="W31" s="24" t="s">
        <v>39</v>
      </c>
      <c r="X31" s="23" t="s">
        <v>39</v>
      </c>
      <c r="Y31" s="23" t="s">
        <v>40</v>
      </c>
    </row>
    <row r="32" spans="1:25" ht="12.75">
      <c r="A32" s="161"/>
      <c r="B32" s="162" t="s">
        <v>31</v>
      </c>
      <c r="C32" s="158" t="s">
        <v>11</v>
      </c>
      <c r="D32" s="15" t="s">
        <v>7</v>
      </c>
      <c r="E32" s="17" t="s">
        <v>32</v>
      </c>
      <c r="F32" s="15" t="s">
        <v>8</v>
      </c>
      <c r="H32" s="9" t="s">
        <v>11</v>
      </c>
      <c r="I32" s="15" t="s">
        <v>7</v>
      </c>
      <c r="J32" s="17" t="s">
        <v>32</v>
      </c>
      <c r="K32" s="15" t="s">
        <v>8</v>
      </c>
      <c r="M32" s="9" t="s">
        <v>11</v>
      </c>
      <c r="N32" s="15" t="s">
        <v>7</v>
      </c>
      <c r="O32" s="17" t="s">
        <v>32</v>
      </c>
      <c r="P32" s="15" t="s">
        <v>8</v>
      </c>
      <c r="R32" s="9" t="s">
        <v>11</v>
      </c>
      <c r="S32" s="15" t="s">
        <v>7</v>
      </c>
      <c r="T32" s="17" t="s">
        <v>32</v>
      </c>
      <c r="U32" s="15" t="s">
        <v>8</v>
      </c>
      <c r="W32" s="20" t="s">
        <v>38</v>
      </c>
      <c r="X32" s="132" t="s">
        <v>7</v>
      </c>
      <c r="Y32" s="19" t="s">
        <v>8</v>
      </c>
    </row>
    <row r="33" spans="1:27" ht="12.75">
      <c r="A33" s="4"/>
      <c r="B33" s="160" t="str">
        <f>+'Team Selection'!J3</f>
        <v>Mark P &amp; Max H</v>
      </c>
      <c r="C33" s="127">
        <f>VLOOKUP($B33&amp;"1",Data!$C:$G,2,FALSE)</f>
        <v>3</v>
      </c>
      <c r="D33" s="128">
        <f>VLOOKUP($B33&amp;"1",Data!$C:$G,4,FALSE)</f>
        <v>0.007129629629629631</v>
      </c>
      <c r="E33" s="129">
        <f>VLOOKUP($B33&amp;"1",Data!$C:$G,5,FALSE)</f>
        <v>2.3</v>
      </c>
      <c r="F33" s="130">
        <f>+D33/E33</f>
        <v>0.0030998389694041877</v>
      </c>
      <c r="H33" s="127">
        <f>VLOOKUP($B33&amp;"2",Data!$C:$G,2,FALSE)</f>
        <v>7</v>
      </c>
      <c r="I33" s="128">
        <f>VLOOKUP($B33&amp;"2",Data!$C:$G,4,FALSE)</f>
        <v>0.01144675925925926</v>
      </c>
      <c r="J33" s="129">
        <f>VLOOKUP($B33&amp;"2",Data!$C:$G,5,FALSE)</f>
        <v>3.7</v>
      </c>
      <c r="K33" s="130">
        <f>+I33/J33</f>
        <v>0.003093718718718719</v>
      </c>
      <c r="M33" s="127">
        <f>VLOOKUP($B33&amp;"3",Data!$C:$G,2,FALSE)</f>
        <v>10</v>
      </c>
      <c r="N33" s="128">
        <f>VLOOKUP($B33&amp;"3",Data!$C:$G,4,FALSE)</f>
        <v>0.010868055555555556</v>
      </c>
      <c r="O33" s="129">
        <f>VLOOKUP($B33&amp;"3",Data!$C:$G,5,FALSE)</f>
        <v>3.5</v>
      </c>
      <c r="P33" s="130">
        <f>+N33/O33</f>
        <v>0.00310515873015873</v>
      </c>
      <c r="R33" s="127">
        <f>VLOOKUP($B33&amp;"4",Data!$C:$G,2,FALSE)</f>
        <v>12</v>
      </c>
      <c r="S33" s="128">
        <f>VLOOKUP($B33&amp;"4",Data!$C:$G,4,FALSE)</f>
        <v>0.008391203703703705</v>
      </c>
      <c r="T33" s="129">
        <f>VLOOKUP($B33&amp;"4",Data!$C:$G,5,FALSE)</f>
        <v>2.83</v>
      </c>
      <c r="U33" s="130">
        <f>+S33/T33</f>
        <v>0.002965089647951839</v>
      </c>
      <c r="W33" s="133">
        <f>SUM(E33,J33,O33,T33)</f>
        <v>12.33</v>
      </c>
      <c r="X33" s="156">
        <f>SUM(D33,I33,N33,S33)</f>
        <v>0.03783564814814815</v>
      </c>
      <c r="Y33" s="130">
        <f>SUM(D33,I33,N33,S33)/W33</f>
        <v>0.0030685846024451056</v>
      </c>
      <c r="AA33" s="2">
        <f aca="true" t="shared" si="24" ref="AA33:AA39">RANK(Y33,Y$33:Y$39,1)</f>
        <v>5</v>
      </c>
    </row>
    <row r="34" spans="1:27" ht="12.75">
      <c r="A34" s="4"/>
      <c r="B34" s="118" t="str">
        <f>+'Team Selection'!J4</f>
        <v>Shirley Ching</v>
      </c>
      <c r="C34" s="127">
        <f>VLOOKUP($B34&amp;"1",Data!$C:$G,2,FALSE)</f>
        <v>1</v>
      </c>
      <c r="D34" s="128">
        <f>VLOOKUP($B34&amp;"1",Data!$C:$G,4,FALSE)</f>
        <v>0.0075</v>
      </c>
      <c r="E34" s="129">
        <f>VLOOKUP($B34&amp;"1",Data!$C:$G,5,FALSE)</f>
        <v>2.3</v>
      </c>
      <c r="F34" s="130">
        <f aca="true" t="shared" si="25" ref="F34:F39">+D34/E34</f>
        <v>0.0032608695652173916</v>
      </c>
      <c r="H34" s="127">
        <f>VLOOKUP($B34&amp;"2",Data!$C:$G,2,FALSE)</f>
        <v>5</v>
      </c>
      <c r="I34" s="128">
        <f>VLOOKUP($B34&amp;"2",Data!$C:$G,4,FALSE)</f>
        <v>0.012164351851851852</v>
      </c>
      <c r="J34" s="129">
        <f>VLOOKUP($B34&amp;"2",Data!$C:$G,5,FALSE)</f>
        <v>3.75</v>
      </c>
      <c r="K34" s="130">
        <f aca="true" t="shared" si="26" ref="K34:K39">+I34/J34</f>
        <v>0.003243827160493827</v>
      </c>
      <c r="M34" s="127">
        <f>VLOOKUP($B34&amp;"3",Data!$C:$G,2,FALSE)</f>
        <v>10</v>
      </c>
      <c r="N34" s="128">
        <f>VLOOKUP($B34&amp;"3",Data!$C:$G,4,FALSE)</f>
        <v>0.011655092592592594</v>
      </c>
      <c r="O34" s="129">
        <f>VLOOKUP($B34&amp;"3",Data!$C:$G,5,FALSE)</f>
        <v>3.5</v>
      </c>
      <c r="P34" s="130">
        <f aca="true" t="shared" si="27" ref="P34:P39">+N34/O34</f>
        <v>0.003330026455026455</v>
      </c>
      <c r="R34" s="127">
        <f>VLOOKUP($B34&amp;"4",Data!$C:$G,2,FALSE)</f>
        <v>12</v>
      </c>
      <c r="S34" s="128">
        <f>VLOOKUP($B34&amp;"4",Data!$C:$G,4,FALSE)</f>
        <v>0.009189814814814814</v>
      </c>
      <c r="T34" s="129">
        <f>VLOOKUP($B34&amp;"4",Data!$C:$G,5,FALSE)</f>
        <v>2.83</v>
      </c>
      <c r="U34" s="130">
        <f aca="true" t="shared" si="28" ref="U34:U39">+S34/T34</f>
        <v>0.003247284386860358</v>
      </c>
      <c r="W34" s="133">
        <f aca="true" t="shared" si="29" ref="W34:W39">SUM(E34,J34,O34,T34)</f>
        <v>12.38</v>
      </c>
      <c r="X34" s="156">
        <f aca="true" t="shared" si="30" ref="X34:X39">SUM(D34,I34,N34,S34)</f>
        <v>0.04050925925925926</v>
      </c>
      <c r="Y34" s="130">
        <f aca="true" t="shared" si="31" ref="Y34:Y39">SUM(D34,I34,N34,S34)/W34</f>
        <v>0.0032721534135104406</v>
      </c>
      <c r="AA34" s="2">
        <f t="shared" si="24"/>
        <v>6</v>
      </c>
    </row>
    <row r="35" spans="1:27" ht="12.75">
      <c r="A35" s="4"/>
      <c r="B35" s="118" t="str">
        <f>+'Team Selection'!J5</f>
        <v>Emma Tinning</v>
      </c>
      <c r="C35" s="127">
        <f>VLOOKUP($B35&amp;"1",Data!$C:$G,2,FALSE)</f>
        <v>1</v>
      </c>
      <c r="D35" s="128">
        <f>VLOOKUP($B35&amp;"1",Data!$C:$G,4,FALSE)</f>
        <v>0.007361111111111111</v>
      </c>
      <c r="E35" s="129">
        <f>VLOOKUP($B35&amp;"1",Data!$C:$G,5,FALSE)</f>
        <v>2.3</v>
      </c>
      <c r="F35" s="130">
        <f t="shared" si="25"/>
        <v>0.0032004830917874397</v>
      </c>
      <c r="H35" s="127">
        <f>VLOOKUP($B35&amp;"2",Data!$C:$G,2,FALSE)</f>
        <v>5</v>
      </c>
      <c r="I35" s="128">
        <f>VLOOKUP($B35&amp;"2",Data!$C:$G,4,FALSE)</f>
        <v>0.011076388888888887</v>
      </c>
      <c r="J35" s="129">
        <f>VLOOKUP($B35&amp;"2",Data!$C:$G,5,FALSE)</f>
        <v>3.75</v>
      </c>
      <c r="K35" s="130">
        <f t="shared" si="26"/>
        <v>0.002953703703703703</v>
      </c>
      <c r="M35" s="127">
        <f>VLOOKUP($B35&amp;"3",Data!$C:$G,2,FALSE)</f>
        <v>10</v>
      </c>
      <c r="N35" s="128">
        <f>VLOOKUP($B35&amp;"3",Data!$C:$G,4,FALSE)</f>
        <v>0.010844907407407407</v>
      </c>
      <c r="O35" s="129">
        <f>VLOOKUP($B35&amp;"3",Data!$C:$G,5,FALSE)</f>
        <v>3.5</v>
      </c>
      <c r="P35" s="130">
        <f t="shared" si="27"/>
        <v>0.0030985449735449733</v>
      </c>
      <c r="R35" s="127">
        <f>VLOOKUP($B35&amp;"4",Data!$C:$G,2,FALSE)</f>
        <v>12</v>
      </c>
      <c r="S35" s="128">
        <f>VLOOKUP($B35&amp;"4",Data!$C:$G,4,FALSE)</f>
        <v>0.008055555555555555</v>
      </c>
      <c r="T35" s="129">
        <f>VLOOKUP($B35&amp;"4",Data!$C:$G,5,FALSE)</f>
        <v>2.83</v>
      </c>
      <c r="U35" s="130">
        <f t="shared" si="28"/>
        <v>0.002846486062033765</v>
      </c>
      <c r="W35" s="133">
        <f t="shared" si="29"/>
        <v>12.38</v>
      </c>
      <c r="X35" s="156">
        <f t="shared" si="30"/>
        <v>0.03733796296296296</v>
      </c>
      <c r="Y35" s="130">
        <f t="shared" si="31"/>
        <v>0.0030159905462813375</v>
      </c>
      <c r="AA35" s="2">
        <f t="shared" si="24"/>
        <v>4</v>
      </c>
    </row>
    <row r="36" spans="1:27" ht="12.75">
      <c r="A36" s="4"/>
      <c r="B36" s="118" t="str">
        <f>+'Team Selection'!J6</f>
        <v>Michael Carney</v>
      </c>
      <c r="C36" s="127">
        <f>VLOOKUP($B36&amp;"1",Data!$C:$G,2,FALSE)</f>
        <v>3</v>
      </c>
      <c r="D36" s="128">
        <f>VLOOKUP($B36&amp;"1",Data!$C:$G,4,FALSE)</f>
        <v>0.006608796296296297</v>
      </c>
      <c r="E36" s="129">
        <f>VLOOKUP($B36&amp;"1",Data!$C:$G,5,FALSE)</f>
        <v>2.3</v>
      </c>
      <c r="F36" s="130">
        <f t="shared" si="25"/>
        <v>0.0028733896940418683</v>
      </c>
      <c r="H36" s="127">
        <f>VLOOKUP($B36&amp;"2",Data!$C:$G,2,FALSE)</f>
        <v>7</v>
      </c>
      <c r="I36" s="128">
        <f>VLOOKUP($B36&amp;"2",Data!$C:$G,4,FALSE)</f>
        <v>0.011111111111111112</v>
      </c>
      <c r="J36" s="129">
        <f>VLOOKUP($B36&amp;"2",Data!$C:$G,5,FALSE)</f>
        <v>3.7</v>
      </c>
      <c r="K36" s="130">
        <f t="shared" si="26"/>
        <v>0.003003003003003003</v>
      </c>
      <c r="M36" s="127">
        <f>VLOOKUP($B36&amp;"3",Data!$C:$G,2,FALSE)</f>
        <v>10</v>
      </c>
      <c r="N36" s="128">
        <f>VLOOKUP($B36&amp;"3",Data!$C:$G,4,FALSE)</f>
        <v>0.013217592592592593</v>
      </c>
      <c r="O36" s="129">
        <f>VLOOKUP($B36&amp;"3",Data!$C:$G,5,FALSE)</f>
        <v>3.5</v>
      </c>
      <c r="P36" s="130">
        <f t="shared" si="27"/>
        <v>0.0037764550264550267</v>
      </c>
      <c r="R36" s="127">
        <f>VLOOKUP($B36&amp;"4",Data!$C:$G,2,FALSE)</f>
        <v>12</v>
      </c>
      <c r="S36" s="128">
        <f>VLOOKUP($B36&amp;"4",Data!$C:$G,4,FALSE)</f>
        <v>0.010416666666666666</v>
      </c>
      <c r="T36" s="129">
        <f>VLOOKUP($B36&amp;"4",Data!$C:$G,5,FALSE)</f>
        <v>2.83</v>
      </c>
      <c r="U36" s="130">
        <f t="shared" si="28"/>
        <v>0.003680800942285041</v>
      </c>
      <c r="W36" s="133">
        <f t="shared" si="29"/>
        <v>12.33</v>
      </c>
      <c r="X36" s="156">
        <f t="shared" si="30"/>
        <v>0.041354166666666664</v>
      </c>
      <c r="Y36" s="130">
        <f t="shared" si="31"/>
        <v>0.0033539470127061364</v>
      </c>
      <c r="AA36" s="2">
        <f t="shared" si="24"/>
        <v>7</v>
      </c>
    </row>
    <row r="37" spans="1:27" ht="12.75">
      <c r="A37" s="4"/>
      <c r="B37" s="118" t="str">
        <f>+'Team Selection'!J7</f>
        <v>Hugh Hunter</v>
      </c>
      <c r="C37" s="127">
        <f>VLOOKUP($B37&amp;"1",Data!$C:$G,2,FALSE)</f>
        <v>3</v>
      </c>
      <c r="D37" s="128">
        <f>VLOOKUP($B37&amp;"1",Data!$C:$G,4,FALSE)</f>
        <v>0.006516203703703704</v>
      </c>
      <c r="E37" s="129">
        <f>VLOOKUP($B37&amp;"1",Data!$C:$G,5,FALSE)</f>
        <v>2.3</v>
      </c>
      <c r="F37" s="130">
        <f t="shared" si="25"/>
        <v>0.002833132045088567</v>
      </c>
      <c r="H37" s="127">
        <f>VLOOKUP($B37&amp;"2",Data!$C:$G,2,FALSE)</f>
        <v>7</v>
      </c>
      <c r="I37" s="128">
        <f>VLOOKUP($B37&amp;"2",Data!$C:$G,4,FALSE)</f>
        <v>0.009884259259259258</v>
      </c>
      <c r="J37" s="129">
        <f>VLOOKUP($B37&amp;"2",Data!$C:$G,5,FALSE)</f>
        <v>3.7</v>
      </c>
      <c r="K37" s="130">
        <f t="shared" si="26"/>
        <v>0.002671421421421421</v>
      </c>
      <c r="M37" s="127">
        <f>VLOOKUP($B37&amp;"3",Data!$C:$G,2,FALSE)</f>
        <v>10</v>
      </c>
      <c r="N37" s="128">
        <f>VLOOKUP($B37&amp;"3",Data!$C:$G,4,FALSE)</f>
        <v>0.009965277777777778</v>
      </c>
      <c r="O37" s="129">
        <f>VLOOKUP($B37&amp;"3",Data!$C:$G,5,FALSE)</f>
        <v>3.5</v>
      </c>
      <c r="P37" s="130">
        <f t="shared" si="27"/>
        <v>0.0028472222222222223</v>
      </c>
      <c r="R37" s="127">
        <f>VLOOKUP($B37&amp;"4",Data!$C:$G,2,FALSE)</f>
        <v>12</v>
      </c>
      <c r="S37" s="128">
        <f>VLOOKUP($B37&amp;"4",Data!$C:$G,4,FALSE)</f>
        <v>0.007395833333333334</v>
      </c>
      <c r="T37" s="129">
        <f>VLOOKUP($B37&amp;"4",Data!$C:$G,5,FALSE)</f>
        <v>2.83</v>
      </c>
      <c r="U37" s="130">
        <f t="shared" si="28"/>
        <v>0.0026133686690223796</v>
      </c>
      <c r="W37" s="133">
        <f t="shared" si="29"/>
        <v>12.33</v>
      </c>
      <c r="X37" s="156">
        <f t="shared" si="30"/>
        <v>0.03376157407407407</v>
      </c>
      <c r="Y37" s="130">
        <f t="shared" si="31"/>
        <v>0.002738164969511279</v>
      </c>
      <c r="AA37" s="2">
        <f t="shared" si="24"/>
        <v>1</v>
      </c>
    </row>
    <row r="38" spans="1:27" ht="12.75">
      <c r="A38" s="4"/>
      <c r="B38" s="118" t="str">
        <f>+'Team Selection'!J8</f>
        <v>John Hand</v>
      </c>
      <c r="C38" s="127">
        <f>VLOOKUP($B38&amp;"1",Data!$C:$G,2,FALSE)</f>
        <v>3</v>
      </c>
      <c r="D38" s="128">
        <f>VLOOKUP($B38&amp;"1",Data!$C:$G,4,FALSE)</f>
        <v>0.00619212962962963</v>
      </c>
      <c r="E38" s="129">
        <f>VLOOKUP($B38&amp;"1",Data!$C:$G,5,FALSE)</f>
        <v>2.3</v>
      </c>
      <c r="F38" s="130">
        <f t="shared" si="25"/>
        <v>0.002692230273752013</v>
      </c>
      <c r="H38" s="127">
        <f>VLOOKUP($B38&amp;"2",Data!$C:$G,2,FALSE)</f>
        <v>7</v>
      </c>
      <c r="I38" s="128">
        <f>VLOOKUP($B38&amp;"2",Data!$C:$G,4,FALSE)</f>
        <v>0.01037037037037037</v>
      </c>
      <c r="J38" s="129">
        <f>VLOOKUP($B38&amp;"2",Data!$C:$G,5,FALSE)</f>
        <v>3.7</v>
      </c>
      <c r="K38" s="130">
        <f t="shared" si="26"/>
        <v>0.0028028028028028026</v>
      </c>
      <c r="M38" s="127">
        <f>VLOOKUP($B38&amp;"3",Data!$C:$G,2,FALSE)</f>
        <v>10</v>
      </c>
      <c r="N38" s="128">
        <f>VLOOKUP($B38&amp;"3",Data!$C:$G,4,FALSE)</f>
        <v>0.010300925925925927</v>
      </c>
      <c r="O38" s="129">
        <f>VLOOKUP($B38&amp;"3",Data!$C:$G,5,FALSE)</f>
        <v>3.5</v>
      </c>
      <c r="P38" s="130">
        <f t="shared" si="27"/>
        <v>0.0029431216931216932</v>
      </c>
      <c r="R38" s="127">
        <f>VLOOKUP($B38&amp;"4",Data!$C:$G,2,FALSE)</f>
        <v>12</v>
      </c>
      <c r="S38" s="128">
        <f>VLOOKUP($B38&amp;"4",Data!$C:$G,4,FALSE)</f>
        <v>0.007893518518518518</v>
      </c>
      <c r="T38" s="129">
        <f>VLOOKUP($B38&amp;"4",Data!$C:$G,5,FALSE)</f>
        <v>2.83</v>
      </c>
      <c r="U38" s="130">
        <f t="shared" si="28"/>
        <v>0.002789229158487109</v>
      </c>
      <c r="W38" s="133">
        <f t="shared" si="29"/>
        <v>12.33</v>
      </c>
      <c r="X38" s="156">
        <f t="shared" si="30"/>
        <v>0.03475694444444445</v>
      </c>
      <c r="Y38" s="130">
        <f t="shared" si="31"/>
        <v>0.002818892493466703</v>
      </c>
      <c r="AA38" s="2">
        <f t="shared" si="24"/>
        <v>2</v>
      </c>
    </row>
    <row r="39" spans="1:27" ht="12.75">
      <c r="A39" s="4"/>
      <c r="B39" s="118" t="str">
        <f>+'Team Selection'!J9</f>
        <v>Yin Kuan Ho</v>
      </c>
      <c r="C39" s="127">
        <f>VLOOKUP($B39&amp;"1",Data!$C:$G,2,FALSE)</f>
        <v>3</v>
      </c>
      <c r="D39" s="128">
        <f>VLOOKUP($B39&amp;"1",Data!$C:$G,4,FALSE)</f>
        <v>0.006701388888888889</v>
      </c>
      <c r="E39" s="129">
        <f>VLOOKUP($B39&amp;"1",Data!$C:$G,5,FALSE)</f>
        <v>2.3</v>
      </c>
      <c r="F39" s="130">
        <f t="shared" si="25"/>
        <v>0.0029136473429951693</v>
      </c>
      <c r="H39" s="127">
        <f>VLOOKUP($B39&amp;"2",Data!$C:$G,2,FALSE)</f>
        <v>7</v>
      </c>
      <c r="I39" s="128">
        <f>VLOOKUP($B39&amp;"2",Data!$C:$G,4,FALSE)</f>
        <v>0.010833333333333334</v>
      </c>
      <c r="J39" s="129">
        <f>VLOOKUP($B39&amp;"2",Data!$C:$G,5,FALSE)</f>
        <v>3.7</v>
      </c>
      <c r="K39" s="130">
        <f t="shared" si="26"/>
        <v>0.002927927927927928</v>
      </c>
      <c r="M39" s="127">
        <f>VLOOKUP($B39&amp;"3",Data!$C:$G,2,FALSE)</f>
        <v>10</v>
      </c>
      <c r="N39" s="128">
        <f>VLOOKUP($B39&amp;"3",Data!$C:$G,4,FALSE)</f>
        <v>0.010520833333333333</v>
      </c>
      <c r="O39" s="129">
        <f>VLOOKUP($B39&amp;"3",Data!$C:$G,5,FALSE)</f>
        <v>3.5</v>
      </c>
      <c r="P39" s="130">
        <f t="shared" si="27"/>
        <v>0.003005952380952381</v>
      </c>
      <c r="R39" s="127">
        <f>VLOOKUP($B39&amp;"4",Data!$C:$G,2,FALSE)</f>
        <v>12</v>
      </c>
      <c r="S39" s="128">
        <f>VLOOKUP($B39&amp;"4",Data!$C:$G,4,FALSE)</f>
        <v>0.00835648148148148</v>
      </c>
      <c r="T39" s="129">
        <f>VLOOKUP($B39&amp;"4",Data!$C:$G,5,FALSE)</f>
        <v>2.83</v>
      </c>
      <c r="U39" s="130">
        <f t="shared" si="28"/>
        <v>0.002952820311477555</v>
      </c>
      <c r="W39" s="133">
        <f t="shared" si="29"/>
        <v>12.33</v>
      </c>
      <c r="X39" s="156">
        <f t="shared" si="30"/>
        <v>0.036412037037037034</v>
      </c>
      <c r="Y39" s="130">
        <f t="shared" si="31"/>
        <v>0.0029531254693460694</v>
      </c>
      <c r="AA39" s="2">
        <f t="shared" si="24"/>
        <v>3</v>
      </c>
    </row>
    <row r="40" spans="3:25" ht="12.75">
      <c r="C40" s="5"/>
      <c r="D40" s="10"/>
      <c r="E40" s="11"/>
      <c r="F40" s="10"/>
      <c r="G40" s="6"/>
      <c r="H40" s="5"/>
      <c r="I40" s="10"/>
      <c r="J40" s="11"/>
      <c r="K40" s="10"/>
      <c r="L40" s="6"/>
      <c r="M40" s="5"/>
      <c r="N40" s="10"/>
      <c r="O40" s="11"/>
      <c r="P40" s="10"/>
      <c r="Q40" s="6"/>
      <c r="R40" s="5"/>
      <c r="S40" s="10"/>
      <c r="T40" s="11"/>
      <c r="U40" s="10"/>
      <c r="X40" s="10"/>
      <c r="Y40" s="10"/>
    </row>
  </sheetData>
  <printOptions/>
  <pageMargins left="0.44" right="0.59" top="1.0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3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12" customWidth="1"/>
    <col min="2" max="2" width="9.140625" style="12" customWidth="1"/>
    <col min="3" max="3" width="20.00390625" style="12" customWidth="1"/>
    <col min="4" max="4" width="9.140625" style="12" customWidth="1"/>
    <col min="5" max="5" width="20.7109375" style="0" customWidth="1"/>
  </cols>
  <sheetData>
    <row r="1" spans="1:7" ht="12.75">
      <c r="A1" s="12" t="s">
        <v>49</v>
      </c>
      <c r="B1" s="12" t="s">
        <v>0</v>
      </c>
      <c r="D1" s="12" t="s">
        <v>11</v>
      </c>
      <c r="E1" s="12" t="s">
        <v>37</v>
      </c>
      <c r="F1" s="12" t="s">
        <v>7</v>
      </c>
      <c r="G1" s="12" t="s">
        <v>38</v>
      </c>
    </row>
    <row r="2" spans="1:7" ht="12.75">
      <c r="A2" s="12">
        <f>COUNTIF(E$2:E2,E2)</f>
        <v>1</v>
      </c>
      <c r="B2" s="12">
        <v>1</v>
      </c>
      <c r="C2" s="12" t="str">
        <f>E2&amp;A2</f>
        <v>Thai Phan1</v>
      </c>
      <c r="D2" s="12">
        <v>1</v>
      </c>
      <c r="E2" t="str">
        <f>+'Stage  Entry'!H4</f>
        <v>Thai Phan</v>
      </c>
      <c r="F2" s="119">
        <f>+'Stage  Entry'!I4</f>
        <v>0.005775462962962962</v>
      </c>
      <c r="G2" s="13">
        <f aca="true" t="shared" si="0" ref="G2:G15">+Dist1</f>
        <v>2.3</v>
      </c>
    </row>
    <row r="3" spans="1:7" ht="12.75">
      <c r="A3" s="12">
        <f>COUNTIF(E$2:E3,E3)</f>
        <v>1</v>
      </c>
      <c r="B3" s="12">
        <v>2</v>
      </c>
      <c r="C3" s="12" t="str">
        <f aca="true" t="shared" si="1" ref="C3:C66">E3&amp;A3</f>
        <v>Shirley Ching1</v>
      </c>
      <c r="D3" s="12">
        <v>1</v>
      </c>
      <c r="E3" t="str">
        <f>+'Stage  Entry'!H5</f>
        <v>Shirley Ching</v>
      </c>
      <c r="F3" s="119">
        <f>+'Stage  Entry'!I5</f>
        <v>0.0075</v>
      </c>
      <c r="G3" s="13">
        <f t="shared" si="0"/>
        <v>2.3</v>
      </c>
    </row>
    <row r="4" spans="1:7" ht="12.75">
      <c r="A4" s="12">
        <f>COUNTIF(E$2:E4,E4)</f>
        <v>1</v>
      </c>
      <c r="B4" s="12">
        <v>3</v>
      </c>
      <c r="C4" s="12" t="str">
        <f t="shared" si="1"/>
        <v>Emma Tinning1</v>
      </c>
      <c r="D4" s="12">
        <v>1</v>
      </c>
      <c r="E4" t="str">
        <f>+'Stage  Entry'!H6</f>
        <v>Emma Tinning</v>
      </c>
      <c r="F4" s="119">
        <f>+'Stage  Entry'!I6</f>
        <v>0.007361111111111111</v>
      </c>
      <c r="G4" s="13">
        <f t="shared" si="0"/>
        <v>2.3</v>
      </c>
    </row>
    <row r="5" spans="1:7" ht="12.75">
      <c r="A5" s="12">
        <f>COUNTIF(E$2:E5,E5)</f>
        <v>1</v>
      </c>
      <c r="B5" s="12">
        <v>4</v>
      </c>
      <c r="C5" s="12" t="str">
        <f t="shared" si="1"/>
        <v>Kirsten Jackson1</v>
      </c>
      <c r="D5" s="12">
        <v>1</v>
      </c>
      <c r="E5" t="str">
        <f>+'Stage  Entry'!H7</f>
        <v>Kirsten Jackson</v>
      </c>
      <c r="F5" s="119">
        <f>+'Stage  Entry'!I7</f>
        <v>0.006087962962962964</v>
      </c>
      <c r="G5" s="13">
        <f t="shared" si="0"/>
        <v>2.3</v>
      </c>
    </row>
    <row r="6" spans="1:7" ht="12.75">
      <c r="A6" s="12">
        <f>COUNTIF(E$2:E6,E6)</f>
        <v>1</v>
      </c>
      <c r="B6" s="12">
        <v>5</v>
      </c>
      <c r="C6" s="12" t="str">
        <f t="shared" si="1"/>
        <v>Gary O'Dwyer1</v>
      </c>
      <c r="D6" s="12">
        <v>1</v>
      </c>
      <c r="E6" t="str">
        <f>+'Stage  Entry'!H8</f>
        <v>Gary O'Dwyer</v>
      </c>
      <c r="F6" s="119">
        <f>+'Stage  Entry'!I8</f>
        <v>0.006203703703703704</v>
      </c>
      <c r="G6" s="13">
        <f t="shared" si="0"/>
        <v>2.3</v>
      </c>
    </row>
    <row r="7" spans="1:7" ht="12.75">
      <c r="A7" s="12">
        <f>COUNTIF(E$2:E7,E7)</f>
        <v>1</v>
      </c>
      <c r="B7" s="12">
        <v>6</v>
      </c>
      <c r="C7" s="12" t="str">
        <f t="shared" si="1"/>
        <v>Terry Wright1</v>
      </c>
      <c r="D7" s="12">
        <v>1</v>
      </c>
      <c r="E7" t="str">
        <f>+'Stage  Entry'!H9</f>
        <v>Terry Wright</v>
      </c>
      <c r="F7" s="119">
        <f>+'Stage  Entry'!I9</f>
        <v>0.006296296296296296</v>
      </c>
      <c r="G7" s="13">
        <f t="shared" si="0"/>
        <v>2.3</v>
      </c>
    </row>
    <row r="8" spans="1:7" ht="12.75">
      <c r="A8" s="12">
        <f>COUNTIF(E$2:E8,E8)</f>
        <v>1</v>
      </c>
      <c r="B8" s="12">
        <v>7</v>
      </c>
      <c r="C8" s="12" t="str">
        <f>E8&amp;A8</f>
        <v>Dave Percival1</v>
      </c>
      <c r="D8" s="12">
        <v>1</v>
      </c>
      <c r="E8" t="str">
        <f>+'Stage  Entry'!H10</f>
        <v>Dave Percival</v>
      </c>
      <c r="F8" s="119">
        <f>+'Stage  Entry'!I10</f>
        <v>0.006076388888888889</v>
      </c>
      <c r="G8" s="13">
        <f t="shared" si="0"/>
        <v>2.3</v>
      </c>
    </row>
    <row r="9" spans="1:7" ht="12.75">
      <c r="A9" s="12">
        <f>COUNTIF(E$2:E9,E9)</f>
        <v>1</v>
      </c>
      <c r="B9" s="12">
        <v>1</v>
      </c>
      <c r="C9" s="12" t="str">
        <f t="shared" si="1"/>
        <v>Norval Hope1</v>
      </c>
      <c r="D9" s="12">
        <v>2</v>
      </c>
      <c r="E9" t="str">
        <f>+'Stage  Entry'!M4</f>
        <v>Norval Hope</v>
      </c>
      <c r="F9" s="119">
        <f>+'Stage  Entry'!N4</f>
        <v>0.005706018518518519</v>
      </c>
      <c r="G9" s="13">
        <f t="shared" si="0"/>
        <v>2.3</v>
      </c>
    </row>
    <row r="10" spans="1:7" ht="12.75">
      <c r="A10" s="12">
        <f>COUNTIF(E$2:E10,E10)</f>
        <v>1</v>
      </c>
      <c r="B10" s="12">
        <v>2</v>
      </c>
      <c r="C10" s="12" t="str">
        <f t="shared" si="1"/>
        <v>Glenn Goodman1</v>
      </c>
      <c r="D10" s="12">
        <v>2</v>
      </c>
      <c r="E10" t="str">
        <f>+'Stage  Entry'!M5</f>
        <v>Glenn Goodman</v>
      </c>
      <c r="F10" s="119">
        <f>+'Stage  Entry'!N5</f>
        <v>0.005891203703703703</v>
      </c>
      <c r="G10" s="13">
        <f t="shared" si="0"/>
        <v>2.3</v>
      </c>
    </row>
    <row r="11" spans="1:7" ht="12.75">
      <c r="A11" s="12">
        <f>COUNTIF(E$2:E11,E11)</f>
        <v>1</v>
      </c>
      <c r="B11" s="12">
        <v>3</v>
      </c>
      <c r="C11" s="12" t="str">
        <f t="shared" si="1"/>
        <v>Steve Miller1</v>
      </c>
      <c r="D11" s="12">
        <v>2</v>
      </c>
      <c r="E11" t="str">
        <f>+'Stage  Entry'!M6</f>
        <v>Steve Miller</v>
      </c>
      <c r="F11" s="119">
        <f>+'Stage  Entry'!N6</f>
        <v>0.005740740740740742</v>
      </c>
      <c r="G11" s="13">
        <f t="shared" si="0"/>
        <v>2.3</v>
      </c>
    </row>
    <row r="12" spans="1:7" ht="12.75">
      <c r="A12" s="12">
        <f>COUNTIF(E$2:E12,E12)</f>
        <v>1</v>
      </c>
      <c r="B12" s="12">
        <v>4</v>
      </c>
      <c r="C12" s="12" t="str">
        <f t="shared" si="1"/>
        <v>Selim Ahmed1</v>
      </c>
      <c r="D12" s="12">
        <v>2</v>
      </c>
      <c r="E12" t="str">
        <f>+'Stage  Entry'!M7</f>
        <v>Selim Ahmed</v>
      </c>
      <c r="F12" s="119">
        <f>+'Stage  Entry'!N7</f>
        <v>0.005625</v>
      </c>
      <c r="G12" s="13">
        <f t="shared" si="0"/>
        <v>2.3</v>
      </c>
    </row>
    <row r="13" spans="1:7" ht="12.75">
      <c r="A13" s="12">
        <f>COUNTIF(E$2:E13,E13)</f>
        <v>1</v>
      </c>
      <c r="B13" s="12">
        <v>5</v>
      </c>
      <c r="C13" s="12" t="str">
        <f t="shared" si="1"/>
        <v>Mark Deslandes1</v>
      </c>
      <c r="D13" s="12">
        <v>2</v>
      </c>
      <c r="E13" t="str">
        <f>+'Stage  Entry'!M8</f>
        <v>Mark Deslandes</v>
      </c>
      <c r="F13" s="119">
        <f>+'Stage  Entry'!N8</f>
        <v>0.005439814814814815</v>
      </c>
      <c r="G13" s="13">
        <f t="shared" si="0"/>
        <v>2.3</v>
      </c>
    </row>
    <row r="14" spans="1:7" ht="12.75">
      <c r="A14" s="12">
        <f>COUNTIF(E$2:E14,E14)</f>
        <v>1</v>
      </c>
      <c r="B14" s="12">
        <v>6</v>
      </c>
      <c r="C14" s="12" t="str">
        <f t="shared" si="1"/>
        <v>Chris Wright1</v>
      </c>
      <c r="D14" s="12">
        <v>2</v>
      </c>
      <c r="E14" t="str">
        <f>+'Stage  Entry'!M9</f>
        <v>Chris Wright</v>
      </c>
      <c r="F14" s="119">
        <f>+'Stage  Entry'!N9</f>
        <v>0.005555555555555556</v>
      </c>
      <c r="G14" s="13">
        <f t="shared" si="0"/>
        <v>2.3</v>
      </c>
    </row>
    <row r="15" spans="1:7" ht="12.75">
      <c r="A15" s="12">
        <f>COUNTIF(E$2:E15,E15)</f>
        <v>1</v>
      </c>
      <c r="B15" s="12">
        <v>7</v>
      </c>
      <c r="C15" s="12" t="str">
        <f>E15&amp;A15</f>
        <v>Simon Duffy1</v>
      </c>
      <c r="D15" s="12">
        <v>2</v>
      </c>
      <c r="E15" t="str">
        <f>+'Stage  Entry'!M10</f>
        <v>Simon Duffy</v>
      </c>
      <c r="F15" s="119">
        <f>+'Stage  Entry'!N10</f>
        <v>0.005451388888888888</v>
      </c>
      <c r="G15" s="13">
        <f t="shared" si="0"/>
        <v>2.3</v>
      </c>
    </row>
    <row r="16" spans="1:7" ht="12.75">
      <c r="A16" s="12">
        <f>COUNTIF(E$2:E16,E16)</f>
        <v>1</v>
      </c>
      <c r="B16" s="12">
        <v>1</v>
      </c>
      <c r="C16" s="12" t="str">
        <f t="shared" si="1"/>
        <v>Mark P &amp; Max H1</v>
      </c>
      <c r="D16" s="12">
        <v>3</v>
      </c>
      <c r="E16" t="str">
        <f>+'Stage  Entry'!R4</f>
        <v>Mark P &amp; Max H</v>
      </c>
      <c r="F16" s="119">
        <f>+'Stage  Entry'!S4</f>
        <v>0.007129629629629631</v>
      </c>
      <c r="G16" s="13">
        <f aca="true" t="shared" si="2" ref="G16:G22">+Dist2</f>
        <v>2.3</v>
      </c>
    </row>
    <row r="17" spans="1:7" ht="12.75">
      <c r="A17" s="12">
        <f>COUNTIF(E$2:E17,E17)</f>
        <v>1</v>
      </c>
      <c r="B17" s="12">
        <v>2</v>
      </c>
      <c r="C17" s="12" t="str">
        <f t="shared" si="1"/>
        <v>Matt Clark1</v>
      </c>
      <c r="D17" s="12">
        <v>3</v>
      </c>
      <c r="E17" t="str">
        <f>+'Stage  Entry'!R5</f>
        <v>Matt Clark</v>
      </c>
      <c r="F17" s="119">
        <f>+'Stage  Entry'!S5</f>
        <v>0.0060648148148148145</v>
      </c>
      <c r="G17" s="13">
        <f t="shared" si="2"/>
        <v>2.3</v>
      </c>
    </row>
    <row r="18" spans="1:7" ht="12.75">
      <c r="A18" s="12">
        <f>COUNTIF(E$2:E18,E18)</f>
        <v>1</v>
      </c>
      <c r="B18" s="12">
        <v>3</v>
      </c>
      <c r="C18" s="12" t="str">
        <f t="shared" si="1"/>
        <v>Rory Heddles1</v>
      </c>
      <c r="D18" s="12">
        <v>3</v>
      </c>
      <c r="E18" t="str">
        <f>+'Stage  Entry'!R6</f>
        <v>Rory Heddles</v>
      </c>
      <c r="F18" s="119">
        <f>+'Stage  Entry'!S6</f>
        <v>0.005740740740740742</v>
      </c>
      <c r="G18" s="13">
        <f t="shared" si="2"/>
        <v>2.3</v>
      </c>
    </row>
    <row r="19" spans="1:7" ht="12.75">
      <c r="A19" s="12">
        <f>COUNTIF(E$2:E19,E19)</f>
        <v>1</v>
      </c>
      <c r="B19" s="12">
        <v>4</v>
      </c>
      <c r="C19" s="12" t="str">
        <f t="shared" si="1"/>
        <v>Michael Carney1</v>
      </c>
      <c r="D19" s="12">
        <v>3</v>
      </c>
      <c r="E19" t="str">
        <f>+'Stage  Entry'!R7</f>
        <v>Michael Carney</v>
      </c>
      <c r="F19" s="119">
        <f>+'Stage  Entry'!S7</f>
        <v>0.006608796296296297</v>
      </c>
      <c r="G19" s="13">
        <f t="shared" si="2"/>
        <v>2.3</v>
      </c>
    </row>
    <row r="20" spans="1:7" ht="12.75">
      <c r="A20" s="12">
        <f>COUNTIF(E$2:E20,E20)</f>
        <v>1</v>
      </c>
      <c r="B20" s="12">
        <v>5</v>
      </c>
      <c r="C20" s="12" t="str">
        <f t="shared" si="1"/>
        <v>Hugh Hunter1</v>
      </c>
      <c r="D20" s="12">
        <v>3</v>
      </c>
      <c r="E20" t="str">
        <f>+'Stage  Entry'!R8</f>
        <v>Hugh Hunter</v>
      </c>
      <c r="F20" s="119">
        <f>+'Stage  Entry'!S8</f>
        <v>0.006516203703703704</v>
      </c>
      <c r="G20" s="13">
        <f t="shared" si="2"/>
        <v>2.3</v>
      </c>
    </row>
    <row r="21" spans="1:7" ht="12.75">
      <c r="A21" s="12">
        <f>COUNTIF(E$2:E21,E21)</f>
        <v>1</v>
      </c>
      <c r="B21" s="12">
        <v>6</v>
      </c>
      <c r="C21" s="12" t="str">
        <f t="shared" si="1"/>
        <v>John Hand1</v>
      </c>
      <c r="D21" s="12">
        <v>3</v>
      </c>
      <c r="E21" t="str">
        <f>+'Stage  Entry'!R9</f>
        <v>John Hand</v>
      </c>
      <c r="F21" s="119">
        <f>+'Stage  Entry'!S9</f>
        <v>0.00619212962962963</v>
      </c>
      <c r="G21" s="13">
        <f t="shared" si="2"/>
        <v>2.3</v>
      </c>
    </row>
    <row r="22" spans="1:7" ht="12.75">
      <c r="A22" s="12">
        <f>COUNTIF(E$2:E22,E22)</f>
        <v>1</v>
      </c>
      <c r="B22" s="12">
        <v>7</v>
      </c>
      <c r="C22" s="12" t="str">
        <f>E22&amp;A22</f>
        <v>Yin Kuan Ho1</v>
      </c>
      <c r="D22" s="12">
        <v>3</v>
      </c>
      <c r="E22" t="str">
        <f>+'Stage  Entry'!R10</f>
        <v>Yin Kuan Ho</v>
      </c>
      <c r="F22" s="119">
        <f>+'Stage  Entry'!S10</f>
        <v>0.006701388888888889</v>
      </c>
      <c r="G22" s="13">
        <f t="shared" si="2"/>
        <v>2.3</v>
      </c>
    </row>
    <row r="23" spans="1:7" ht="12.75">
      <c r="A23" s="12">
        <f>COUNTIF(E$2:E23,E23)</f>
        <v>1</v>
      </c>
      <c r="B23" s="12">
        <v>1</v>
      </c>
      <c r="C23" s="12" t="str">
        <f t="shared" si="1"/>
        <v>Stephen Paine1</v>
      </c>
      <c r="D23" s="12">
        <v>4</v>
      </c>
      <c r="E23" t="str">
        <f>+'Stage  Entry'!W4</f>
        <v>Stephen Paine</v>
      </c>
      <c r="F23" s="119">
        <f>+'Stage  Entry'!X4</f>
        <v>0.004814814814814815</v>
      </c>
      <c r="G23" s="13">
        <f aca="true" t="shared" si="3" ref="G23:G29">+Dist3</f>
        <v>2.3</v>
      </c>
    </row>
    <row r="24" spans="1:7" ht="12.75">
      <c r="A24" s="12">
        <f>COUNTIF(E$2:E24,E24)</f>
        <v>1</v>
      </c>
      <c r="B24" s="12">
        <v>2</v>
      </c>
      <c r="C24" s="12" t="str">
        <f t="shared" si="1"/>
        <v>Troy Williams1</v>
      </c>
      <c r="D24" s="12">
        <v>4</v>
      </c>
      <c r="E24" t="str">
        <f>+'Stage  Entry'!W5</f>
        <v>Troy Williams</v>
      </c>
      <c r="F24" s="119">
        <f>+'Stage  Entry'!X5</f>
        <v>0.005219907407407407</v>
      </c>
      <c r="G24" s="13">
        <f t="shared" si="3"/>
        <v>2.3</v>
      </c>
    </row>
    <row r="25" spans="1:7" ht="12.75">
      <c r="A25" s="12">
        <f>COUNTIF(E$2:E25,E25)</f>
        <v>1</v>
      </c>
      <c r="B25" s="12">
        <v>3</v>
      </c>
      <c r="C25" s="12" t="str">
        <f t="shared" si="1"/>
        <v>David Venour1</v>
      </c>
      <c r="D25" s="12">
        <v>4</v>
      </c>
      <c r="E25" t="str">
        <f>+'Stage  Entry'!W6</f>
        <v>David Venour</v>
      </c>
      <c r="F25" s="119">
        <f>+'Stage  Entry'!X6</f>
        <v>0.005208333333333333</v>
      </c>
      <c r="G25" s="13">
        <f t="shared" si="3"/>
        <v>2.3</v>
      </c>
    </row>
    <row r="26" spans="1:7" ht="12.75">
      <c r="A26" s="12">
        <f>COUNTIF(E$2:E26,E26)</f>
        <v>1</v>
      </c>
      <c r="B26" s="12">
        <v>4</v>
      </c>
      <c r="C26" s="12" t="str">
        <f t="shared" si="1"/>
        <v>Andrew Coles1</v>
      </c>
      <c r="D26" s="12">
        <v>4</v>
      </c>
      <c r="E26" t="str">
        <f>+'Stage  Entry'!W7</f>
        <v>Andrew Coles</v>
      </c>
      <c r="F26" s="119">
        <f>+'Stage  Entry'!X7</f>
        <v>0.005138888888888889</v>
      </c>
      <c r="G26" s="13">
        <f t="shared" si="3"/>
        <v>2.3</v>
      </c>
    </row>
    <row r="27" spans="1:7" ht="12.75">
      <c r="A27" s="12">
        <f>COUNTIF(E$2:E27,E27)</f>
        <v>1</v>
      </c>
      <c r="B27" s="12">
        <v>5</v>
      </c>
      <c r="C27" s="12" t="str">
        <f t="shared" si="1"/>
        <v>Shane Fielding1</v>
      </c>
      <c r="D27" s="12">
        <v>4</v>
      </c>
      <c r="E27" t="str">
        <f>+'Stage  Entry'!W8</f>
        <v>Shane Fielding</v>
      </c>
      <c r="F27" s="119">
        <f>+'Stage  Entry'!X8</f>
        <v>0.005277777777777777</v>
      </c>
      <c r="G27" s="13">
        <f t="shared" si="3"/>
        <v>2.3</v>
      </c>
    </row>
    <row r="28" spans="1:7" ht="12.75">
      <c r="A28" s="12">
        <f>COUNTIF(E$2:E28,E28)</f>
        <v>1</v>
      </c>
      <c r="B28" s="12">
        <v>6</v>
      </c>
      <c r="C28" s="12" t="str">
        <f t="shared" si="1"/>
        <v>Bruce Arthur1</v>
      </c>
      <c r="D28" s="12">
        <v>4</v>
      </c>
      <c r="E28" t="str">
        <f>+'Stage  Entry'!W9</f>
        <v>Bruce Arthur</v>
      </c>
      <c r="F28" s="119">
        <f>+'Stage  Entry'!X9</f>
        <v>0.005324074074074075</v>
      </c>
      <c r="G28" s="13">
        <f t="shared" si="3"/>
        <v>2.3</v>
      </c>
    </row>
    <row r="29" spans="1:7" ht="12.75">
      <c r="A29" s="12">
        <f>COUNTIF(E$2:E29,E29)</f>
        <v>1</v>
      </c>
      <c r="B29" s="12">
        <v>7</v>
      </c>
      <c r="C29" s="12" t="str">
        <f>E29&amp;A29</f>
        <v>Anthony Mithen1</v>
      </c>
      <c r="D29" s="12">
        <v>4</v>
      </c>
      <c r="E29" t="str">
        <f>+'Stage  Entry'!W10</f>
        <v>Anthony Mithen</v>
      </c>
      <c r="F29" s="119">
        <f>+'Stage  Entry'!X10</f>
        <v>0.005335648148148148</v>
      </c>
      <c r="G29" s="13">
        <f t="shared" si="3"/>
        <v>2.3</v>
      </c>
    </row>
    <row r="30" spans="1:7" ht="12.75">
      <c r="A30" s="12">
        <f>COUNTIF(E$2:E30,E30)</f>
        <v>2</v>
      </c>
      <c r="B30" s="12">
        <v>1</v>
      </c>
      <c r="C30" s="12" t="str">
        <f t="shared" si="1"/>
        <v>Thai Phan2</v>
      </c>
      <c r="D30" s="12">
        <v>5</v>
      </c>
      <c r="E30" t="str">
        <f>+'Stage  Entry'!AB4</f>
        <v>Thai Phan</v>
      </c>
      <c r="F30" s="119">
        <f>+'Stage  Entry'!AC4</f>
        <v>0.00954861111111111</v>
      </c>
      <c r="G30" s="13">
        <f aca="true" t="shared" si="4" ref="G30:G36">+Dist4</f>
        <v>3.75</v>
      </c>
    </row>
    <row r="31" spans="1:7" ht="12.75">
      <c r="A31" s="12">
        <f>COUNTIF(E$2:E31,E31)</f>
        <v>2</v>
      </c>
      <c r="B31" s="12">
        <v>2</v>
      </c>
      <c r="C31" s="12" t="str">
        <f t="shared" si="1"/>
        <v>Shirley Ching2</v>
      </c>
      <c r="D31" s="12">
        <v>5</v>
      </c>
      <c r="E31" t="str">
        <f>+'Stage  Entry'!AB5</f>
        <v>Shirley Ching</v>
      </c>
      <c r="F31" s="119">
        <f>+'Stage  Entry'!AC5</f>
        <v>0.012164351851851852</v>
      </c>
      <c r="G31" s="13">
        <f t="shared" si="4"/>
        <v>3.75</v>
      </c>
    </row>
    <row r="32" spans="1:7" ht="12.75">
      <c r="A32" s="12">
        <f>COUNTIF(E$2:E32,E32)</f>
        <v>2</v>
      </c>
      <c r="B32" s="12">
        <v>3</v>
      </c>
      <c r="C32" s="12" t="str">
        <f t="shared" si="1"/>
        <v>Emma Tinning2</v>
      </c>
      <c r="D32" s="12">
        <v>5</v>
      </c>
      <c r="E32" t="str">
        <f>+'Stage  Entry'!AB6</f>
        <v>Emma Tinning</v>
      </c>
      <c r="F32" s="119">
        <f>+'Stage  Entry'!AC6</f>
        <v>0.011076388888888887</v>
      </c>
      <c r="G32" s="13">
        <f t="shared" si="4"/>
        <v>3.75</v>
      </c>
    </row>
    <row r="33" spans="1:7" ht="12.75">
      <c r="A33" s="12">
        <f>COUNTIF(E$2:E33,E33)</f>
        <v>2</v>
      </c>
      <c r="B33" s="12">
        <v>4</v>
      </c>
      <c r="C33" s="12" t="str">
        <f t="shared" si="1"/>
        <v>Kirsten Jackson2</v>
      </c>
      <c r="D33" s="12">
        <v>5</v>
      </c>
      <c r="E33" t="str">
        <f>+'Stage  Entry'!AB7</f>
        <v>Kirsten Jackson</v>
      </c>
      <c r="F33" s="119">
        <f>+'Stage  Entry'!AC7</f>
        <v>0.009953703703703704</v>
      </c>
      <c r="G33" s="13">
        <f t="shared" si="4"/>
        <v>3.75</v>
      </c>
    </row>
    <row r="34" spans="1:7" ht="12.75">
      <c r="A34" s="12">
        <f>COUNTIF(E$2:E34,E34)</f>
        <v>2</v>
      </c>
      <c r="B34" s="12">
        <v>5</v>
      </c>
      <c r="C34" s="12" t="str">
        <f t="shared" si="1"/>
        <v>Gary O'Dwyer2</v>
      </c>
      <c r="D34" s="12">
        <v>5</v>
      </c>
      <c r="E34" t="str">
        <f>+'Stage  Entry'!AB8</f>
        <v>Gary O'Dwyer</v>
      </c>
      <c r="F34" s="119">
        <f>+'Stage  Entry'!AC8</f>
        <v>0.01005787037037037</v>
      </c>
      <c r="G34" s="13">
        <f t="shared" si="4"/>
        <v>3.75</v>
      </c>
    </row>
    <row r="35" spans="1:7" ht="12.75">
      <c r="A35" s="12">
        <f>COUNTIF(E$2:E35,E35)</f>
        <v>2</v>
      </c>
      <c r="B35" s="12">
        <v>6</v>
      </c>
      <c r="C35" s="12" t="str">
        <f t="shared" si="1"/>
        <v>Terry Wright2</v>
      </c>
      <c r="D35" s="12">
        <v>5</v>
      </c>
      <c r="E35" t="str">
        <f>+'Stage  Entry'!AB9</f>
        <v>Terry Wright</v>
      </c>
      <c r="F35" s="119">
        <f>+'Stage  Entry'!AC9</f>
        <v>0.01025462962962963</v>
      </c>
      <c r="G35" s="13">
        <f t="shared" si="4"/>
        <v>3.75</v>
      </c>
    </row>
    <row r="36" spans="1:7" ht="12.75">
      <c r="A36" s="12">
        <f>COUNTIF(E$2:E36,E36)</f>
        <v>2</v>
      </c>
      <c r="B36" s="12">
        <v>7</v>
      </c>
      <c r="C36" s="12" t="str">
        <f>E36&amp;A36</f>
        <v>Dave Percival2</v>
      </c>
      <c r="D36" s="12">
        <v>5</v>
      </c>
      <c r="E36" t="str">
        <f>+'Stage  Entry'!AB10</f>
        <v>Dave Percival</v>
      </c>
      <c r="F36" s="119">
        <f>+'Stage  Entry'!AC10</f>
        <v>0.009907407407407408</v>
      </c>
      <c r="G36" s="13">
        <f t="shared" si="4"/>
        <v>3.75</v>
      </c>
    </row>
    <row r="37" spans="1:7" ht="12.75">
      <c r="A37" s="12">
        <f>COUNTIF(E$2:E37,E37)</f>
        <v>2</v>
      </c>
      <c r="B37" s="12">
        <v>1</v>
      </c>
      <c r="C37" s="12" t="str">
        <f t="shared" si="1"/>
        <v>Norval Hope2</v>
      </c>
      <c r="D37" s="12">
        <v>6</v>
      </c>
      <c r="E37" t="str">
        <f>+'Stage  Entry'!AG4</f>
        <v>Norval Hope</v>
      </c>
      <c r="F37" s="119">
        <f>+'Stage  Entry'!AH4</f>
        <v>0.01005787037037037</v>
      </c>
      <c r="G37" s="13">
        <f aca="true" t="shared" si="5" ref="G37:G43">+Dist5</f>
        <v>3.95</v>
      </c>
    </row>
    <row r="38" spans="1:7" ht="12.75">
      <c r="A38" s="12">
        <f>COUNTIF(E$2:E38,E38)</f>
        <v>2</v>
      </c>
      <c r="B38" s="12">
        <v>2</v>
      </c>
      <c r="C38" s="12" t="str">
        <f t="shared" si="1"/>
        <v>Glenn Goodman2</v>
      </c>
      <c r="D38" s="12">
        <v>6</v>
      </c>
      <c r="E38" t="str">
        <f>+'Stage  Entry'!AG5</f>
        <v>Glenn Goodman</v>
      </c>
      <c r="F38" s="119">
        <f>+'Stage  Entry'!AH5</f>
        <v>0.010219907407407408</v>
      </c>
      <c r="G38" s="13">
        <f t="shared" si="5"/>
        <v>3.95</v>
      </c>
    </row>
    <row r="39" spans="1:7" ht="12.75">
      <c r="A39" s="12">
        <f>COUNTIF(E$2:E39,E39)</f>
        <v>2</v>
      </c>
      <c r="B39" s="12">
        <v>3</v>
      </c>
      <c r="C39" s="12" t="str">
        <f t="shared" si="1"/>
        <v>Steve Miller2</v>
      </c>
      <c r="D39" s="12">
        <v>6</v>
      </c>
      <c r="E39" t="str">
        <f>+'Stage  Entry'!AG6</f>
        <v>Steve Miller</v>
      </c>
      <c r="F39" s="119">
        <f>+'Stage  Entry'!AH6</f>
        <v>0.010011574074074074</v>
      </c>
      <c r="G39" s="13">
        <f t="shared" si="5"/>
        <v>3.95</v>
      </c>
    </row>
    <row r="40" spans="1:7" ht="12.75">
      <c r="A40" s="12">
        <f>COUNTIF(E$2:E40,E40)</f>
        <v>2</v>
      </c>
      <c r="B40" s="12">
        <v>4</v>
      </c>
      <c r="C40" s="12" t="str">
        <f t="shared" si="1"/>
        <v>Selim Ahmed2</v>
      </c>
      <c r="D40" s="12">
        <v>6</v>
      </c>
      <c r="E40" t="str">
        <f>+'Stage  Entry'!AG7</f>
        <v>Selim Ahmed</v>
      </c>
      <c r="F40" s="119">
        <f>+'Stage  Entry'!AH7</f>
        <v>0.010069444444444445</v>
      </c>
      <c r="G40" s="13">
        <f t="shared" si="5"/>
        <v>3.95</v>
      </c>
    </row>
    <row r="41" spans="1:7" ht="12.75">
      <c r="A41" s="12">
        <f>COUNTIF(E$2:E41,E41)</f>
        <v>2</v>
      </c>
      <c r="B41" s="12">
        <v>5</v>
      </c>
      <c r="C41" s="12" t="str">
        <f t="shared" si="1"/>
        <v>Mark Deslandes2</v>
      </c>
      <c r="D41" s="12">
        <v>6</v>
      </c>
      <c r="E41" t="str">
        <f>+'Stage  Entry'!AG8</f>
        <v>Mark Deslandes</v>
      </c>
      <c r="F41" s="119">
        <f>+'Stage  Entry'!AH8</f>
        <v>0.00954861111111111</v>
      </c>
      <c r="G41" s="13">
        <f t="shared" si="5"/>
        <v>3.95</v>
      </c>
    </row>
    <row r="42" spans="1:7" ht="12.75">
      <c r="A42" s="12">
        <f>COUNTIF(E$2:E42,E42)</f>
        <v>2</v>
      </c>
      <c r="B42" s="12">
        <v>6</v>
      </c>
      <c r="C42" s="12" t="str">
        <f t="shared" si="1"/>
        <v>Chris Wright2</v>
      </c>
      <c r="D42" s="12">
        <v>6</v>
      </c>
      <c r="E42" t="str">
        <f>+'Stage  Entry'!AG9</f>
        <v>Chris Wright</v>
      </c>
      <c r="F42" s="119">
        <f>+'Stage  Entry'!AH9</f>
        <v>0.009814814814814814</v>
      </c>
      <c r="G42" s="13">
        <f t="shared" si="5"/>
        <v>3.95</v>
      </c>
    </row>
    <row r="43" spans="1:7" ht="12.75">
      <c r="A43" s="12">
        <f>COUNTIF(E$2:E43,E43)</f>
        <v>2</v>
      </c>
      <c r="B43" s="12">
        <v>7</v>
      </c>
      <c r="C43" s="12" t="str">
        <f>E43&amp;A43</f>
        <v>Simon Duffy2</v>
      </c>
      <c r="D43" s="12">
        <v>6</v>
      </c>
      <c r="E43" t="str">
        <f>+'Stage  Entry'!AG10</f>
        <v>Simon Duffy</v>
      </c>
      <c r="F43" s="119">
        <f>+'Stage  Entry'!AH10</f>
        <v>0.0096875</v>
      </c>
      <c r="G43" s="13">
        <f t="shared" si="5"/>
        <v>3.95</v>
      </c>
    </row>
    <row r="44" spans="1:7" ht="12.75">
      <c r="A44" s="12">
        <f>COUNTIF(E$2:E44,E44)</f>
        <v>2</v>
      </c>
      <c r="B44" s="12">
        <v>1</v>
      </c>
      <c r="C44" s="12" t="str">
        <f t="shared" si="1"/>
        <v>Mark P &amp; Max H2</v>
      </c>
      <c r="D44" s="12">
        <v>7</v>
      </c>
      <c r="E44" t="str">
        <f>+'Stage  Entry'!AL4</f>
        <v>Mark P &amp; Max H</v>
      </c>
      <c r="F44" s="119">
        <f>+'Stage  Entry'!AM4</f>
        <v>0.01144675925925926</v>
      </c>
      <c r="G44" s="13">
        <f aca="true" t="shared" si="6" ref="G44:G50">+Dist6</f>
        <v>3.7</v>
      </c>
    </row>
    <row r="45" spans="1:7" ht="12.75">
      <c r="A45" s="12">
        <f>COUNTIF(E$2:E45,E45)</f>
        <v>2</v>
      </c>
      <c r="B45" s="12">
        <v>2</v>
      </c>
      <c r="C45" s="12" t="str">
        <f t="shared" si="1"/>
        <v>Matt Clark2</v>
      </c>
      <c r="D45" s="12">
        <v>7</v>
      </c>
      <c r="E45" t="str">
        <f>+'Stage  Entry'!AL5</f>
        <v>Matt Clark</v>
      </c>
      <c r="F45" s="119">
        <f>+'Stage  Entry'!AM5</f>
        <v>0.009942129629629629</v>
      </c>
      <c r="G45" s="13">
        <f t="shared" si="6"/>
        <v>3.7</v>
      </c>
    </row>
    <row r="46" spans="1:7" ht="12.75">
      <c r="A46" s="12">
        <f>COUNTIF(E$2:E46,E46)</f>
        <v>2</v>
      </c>
      <c r="B46" s="12">
        <v>3</v>
      </c>
      <c r="C46" s="12" t="str">
        <f t="shared" si="1"/>
        <v>Rory Heddles2</v>
      </c>
      <c r="D46" s="12">
        <v>7</v>
      </c>
      <c r="E46" t="str">
        <f>+'Stage  Entry'!AL6</f>
        <v>Rory Heddles</v>
      </c>
      <c r="F46" s="119">
        <f>+'Stage  Entry'!AM6</f>
        <v>0.00949074074074074</v>
      </c>
      <c r="G46" s="13">
        <f t="shared" si="6"/>
        <v>3.7</v>
      </c>
    </row>
    <row r="47" spans="1:7" ht="12.75">
      <c r="A47" s="12">
        <f>COUNTIF(E$2:E47,E47)</f>
        <v>2</v>
      </c>
      <c r="B47" s="12">
        <v>4</v>
      </c>
      <c r="C47" s="12" t="str">
        <f t="shared" si="1"/>
        <v>Michael Carney2</v>
      </c>
      <c r="D47" s="12">
        <v>7</v>
      </c>
      <c r="E47" t="str">
        <f>+'Stage  Entry'!AL7</f>
        <v>Michael Carney</v>
      </c>
      <c r="F47" s="119">
        <f>+'Stage  Entry'!AM7</f>
        <v>0.011111111111111112</v>
      </c>
      <c r="G47" s="13">
        <f t="shared" si="6"/>
        <v>3.7</v>
      </c>
    </row>
    <row r="48" spans="1:7" ht="12.75">
      <c r="A48" s="12">
        <f>COUNTIF(E$2:E48,E48)</f>
        <v>2</v>
      </c>
      <c r="B48" s="12">
        <v>5</v>
      </c>
      <c r="C48" s="12" t="str">
        <f t="shared" si="1"/>
        <v>Hugh Hunter2</v>
      </c>
      <c r="D48" s="12">
        <v>7</v>
      </c>
      <c r="E48" t="str">
        <f>+'Stage  Entry'!AL8</f>
        <v>Hugh Hunter</v>
      </c>
      <c r="F48" s="119">
        <f>+'Stage  Entry'!AM8</f>
        <v>0.009884259259259258</v>
      </c>
      <c r="G48" s="13">
        <f t="shared" si="6"/>
        <v>3.7</v>
      </c>
    </row>
    <row r="49" spans="1:7" ht="12.75">
      <c r="A49" s="12">
        <f>COUNTIF(E$2:E49,E49)</f>
        <v>2</v>
      </c>
      <c r="B49" s="12">
        <v>6</v>
      </c>
      <c r="C49" s="12" t="str">
        <f t="shared" si="1"/>
        <v>John Hand2</v>
      </c>
      <c r="D49" s="12">
        <v>7</v>
      </c>
      <c r="E49" t="str">
        <f>+'Stage  Entry'!AL9</f>
        <v>John Hand</v>
      </c>
      <c r="F49" s="119">
        <f>+'Stage  Entry'!AM9</f>
        <v>0.01037037037037037</v>
      </c>
      <c r="G49" s="13">
        <f t="shared" si="6"/>
        <v>3.7</v>
      </c>
    </row>
    <row r="50" spans="1:7" ht="12.75">
      <c r="A50" s="12">
        <f>COUNTIF(E$2:E50,E50)</f>
        <v>2</v>
      </c>
      <c r="B50" s="12">
        <v>7</v>
      </c>
      <c r="C50" s="12" t="str">
        <f>E50&amp;A50</f>
        <v>Yin Kuan Ho2</v>
      </c>
      <c r="D50" s="12">
        <v>7</v>
      </c>
      <c r="E50" t="str">
        <f>+'Stage  Entry'!AL10</f>
        <v>Yin Kuan Ho</v>
      </c>
      <c r="F50" s="119">
        <f>+'Stage  Entry'!AM10</f>
        <v>0.010833333333333334</v>
      </c>
      <c r="G50" s="13">
        <f t="shared" si="6"/>
        <v>3.7</v>
      </c>
    </row>
    <row r="51" spans="1:7" ht="12.75">
      <c r="A51" s="12">
        <f>COUNTIF(E$2:E51,E51)</f>
        <v>2</v>
      </c>
      <c r="B51" s="12">
        <v>1</v>
      </c>
      <c r="C51" s="12" t="str">
        <f t="shared" si="1"/>
        <v>Stephen Paine2</v>
      </c>
      <c r="D51" s="12">
        <v>8</v>
      </c>
      <c r="E51" t="str">
        <f>+'Stage  Entry'!AQ4</f>
        <v>Stephen Paine</v>
      </c>
      <c r="F51" s="119">
        <f>+'Stage  Entry'!AR4</f>
        <v>0.009340277777777777</v>
      </c>
      <c r="G51" s="13">
        <f aca="true" t="shared" si="7" ref="G51:G57">+Dist7</f>
        <v>4.35</v>
      </c>
    </row>
    <row r="52" spans="1:7" ht="12.75">
      <c r="A52" s="12">
        <f>COUNTIF(E$2:E52,E52)</f>
        <v>2</v>
      </c>
      <c r="B52" s="12">
        <v>2</v>
      </c>
      <c r="C52" s="12" t="str">
        <f t="shared" si="1"/>
        <v>Troy Williams2</v>
      </c>
      <c r="D52" s="12">
        <v>8</v>
      </c>
      <c r="E52" t="str">
        <f>+'Stage  Entry'!AQ5</f>
        <v>Troy Williams</v>
      </c>
      <c r="F52" s="119">
        <f>+'Stage  Entry'!AR5</f>
        <v>0.010069444444444445</v>
      </c>
      <c r="G52" s="13">
        <f t="shared" si="7"/>
        <v>4.35</v>
      </c>
    </row>
    <row r="53" spans="1:7" ht="12.75">
      <c r="A53" s="12">
        <f>COUNTIF(E$2:E53,E53)</f>
        <v>2</v>
      </c>
      <c r="B53" s="12">
        <v>3</v>
      </c>
      <c r="C53" s="12" t="str">
        <f t="shared" si="1"/>
        <v>David Venour2</v>
      </c>
      <c r="D53" s="12">
        <v>8</v>
      </c>
      <c r="E53" t="str">
        <f>+'Stage  Entry'!AQ6</f>
        <v>David Venour</v>
      </c>
      <c r="F53" s="119">
        <f>+'Stage  Entry'!AR6</f>
        <v>0.009930555555555555</v>
      </c>
      <c r="G53" s="13">
        <f t="shared" si="7"/>
        <v>4.35</v>
      </c>
    </row>
    <row r="54" spans="1:7" ht="12.75">
      <c r="A54" s="12">
        <f>COUNTIF(E$2:E54,E54)</f>
        <v>2</v>
      </c>
      <c r="B54" s="12">
        <v>4</v>
      </c>
      <c r="C54" s="12" t="str">
        <f t="shared" si="1"/>
        <v>Andrew Coles2</v>
      </c>
      <c r="D54" s="12">
        <v>8</v>
      </c>
      <c r="E54" t="str">
        <f>+'Stage  Entry'!AQ7</f>
        <v>Andrew Coles</v>
      </c>
      <c r="F54" s="119">
        <f>+'Stage  Entry'!AR7</f>
        <v>0.009965277777777778</v>
      </c>
      <c r="G54" s="13">
        <f t="shared" si="7"/>
        <v>4.35</v>
      </c>
    </row>
    <row r="55" spans="1:7" ht="12.75">
      <c r="A55" s="12">
        <f>COUNTIF(E$2:E55,E55)</f>
        <v>2</v>
      </c>
      <c r="B55" s="12">
        <v>5</v>
      </c>
      <c r="C55" s="12" t="str">
        <f t="shared" si="1"/>
        <v>Shane Fielding2</v>
      </c>
      <c r="D55" s="12">
        <v>8</v>
      </c>
      <c r="E55" t="str">
        <f>+'Stage  Entry'!AQ8</f>
        <v>Shane Fielding</v>
      </c>
      <c r="F55" s="119">
        <f>+'Stage  Entry'!AR8</f>
        <v>0.010162037037037037</v>
      </c>
      <c r="G55" s="13">
        <f t="shared" si="7"/>
        <v>4.35</v>
      </c>
    </row>
    <row r="56" spans="1:7" ht="12.75">
      <c r="A56" s="12">
        <f>COUNTIF(E$2:E56,E56)</f>
        <v>2</v>
      </c>
      <c r="B56" s="12">
        <v>6</v>
      </c>
      <c r="C56" s="12" t="str">
        <f t="shared" si="1"/>
        <v>Bruce Arthur2</v>
      </c>
      <c r="D56" s="12">
        <v>8</v>
      </c>
      <c r="E56" t="str">
        <f>+'Stage  Entry'!AQ9</f>
        <v>Bruce Arthur</v>
      </c>
      <c r="F56" s="119">
        <f>+'Stage  Entry'!AR9</f>
        <v>0.010289351851851852</v>
      </c>
      <c r="G56" s="13">
        <f t="shared" si="7"/>
        <v>4.35</v>
      </c>
    </row>
    <row r="57" spans="1:7" ht="12.75">
      <c r="A57" s="12">
        <f>COUNTIF(E$2:E57,E57)</f>
        <v>2</v>
      </c>
      <c r="B57" s="12">
        <v>7</v>
      </c>
      <c r="C57" s="12" t="str">
        <f>E57&amp;A57</f>
        <v>Anthony Mithen2</v>
      </c>
      <c r="D57" s="12">
        <v>8</v>
      </c>
      <c r="E57" t="str">
        <f>+'Stage  Entry'!AQ10</f>
        <v>Anthony Mithen</v>
      </c>
      <c r="F57" s="119">
        <f>+'Stage  Entry'!AR10</f>
        <v>0.010439814814814813</v>
      </c>
      <c r="G57" s="13">
        <f t="shared" si="7"/>
        <v>4.35</v>
      </c>
    </row>
    <row r="58" spans="1:7" ht="12.75">
      <c r="A58" s="12">
        <f>COUNTIF(E$2:E58,E58)</f>
        <v>3</v>
      </c>
      <c r="B58" s="12">
        <v>1</v>
      </c>
      <c r="C58" s="12" t="str">
        <f t="shared" si="1"/>
        <v>Thai Phan3</v>
      </c>
      <c r="D58" s="12">
        <v>9</v>
      </c>
      <c r="E58" t="str">
        <f>+'Stage  Entry'!H14</f>
        <v>Thai Phan</v>
      </c>
      <c r="F58" s="119">
        <f>+'Stage  Entry'!I14</f>
        <v>0.011689814814814814</v>
      </c>
      <c r="G58" s="13">
        <f aca="true" t="shared" si="8" ref="G58:G64">+Dist8</f>
        <v>4.5</v>
      </c>
    </row>
    <row r="59" spans="1:7" ht="12.75">
      <c r="A59" s="12">
        <f>COUNTIF(E$2:E59,E59)</f>
        <v>3</v>
      </c>
      <c r="B59" s="12">
        <v>2</v>
      </c>
      <c r="C59" s="12" t="str">
        <f t="shared" si="1"/>
        <v>Matt Clark3</v>
      </c>
      <c r="D59" s="12">
        <v>9</v>
      </c>
      <c r="E59" t="str">
        <f>+'Stage  Entry'!H15</f>
        <v>Matt Clark</v>
      </c>
      <c r="F59" s="119">
        <f>+'Stage  Entry'!I15</f>
        <v>0.011967592592592592</v>
      </c>
      <c r="G59" s="13">
        <f t="shared" si="8"/>
        <v>4.5</v>
      </c>
    </row>
    <row r="60" spans="1:7" ht="12.75">
      <c r="A60" s="12">
        <f>COUNTIF(E$2:E60,E60)</f>
        <v>3</v>
      </c>
      <c r="B60" s="12">
        <v>3</v>
      </c>
      <c r="C60" s="12" t="str">
        <f t="shared" si="1"/>
        <v>Rory Heddles3</v>
      </c>
      <c r="D60" s="12">
        <v>9</v>
      </c>
      <c r="E60" t="str">
        <f>+'Stage  Entry'!H16</f>
        <v>Rory Heddles</v>
      </c>
      <c r="F60" s="119">
        <f>+'Stage  Entry'!I16</f>
        <v>0.01175925925925926</v>
      </c>
      <c r="G60" s="13">
        <f t="shared" si="8"/>
        <v>4.5</v>
      </c>
    </row>
    <row r="61" spans="1:7" ht="12.75">
      <c r="A61" s="12">
        <f>COUNTIF(E$2:E61,E61)</f>
        <v>3</v>
      </c>
      <c r="B61" s="12">
        <v>4</v>
      </c>
      <c r="C61" s="12" t="str">
        <f t="shared" si="1"/>
        <v>Andrew Coles3</v>
      </c>
      <c r="D61" s="12">
        <v>9</v>
      </c>
      <c r="E61" t="str">
        <f>+'Stage  Entry'!H17</f>
        <v>Andrew Coles</v>
      </c>
      <c r="F61" s="119">
        <f>+'Stage  Entry'!I17</f>
        <v>0.010393518518518519</v>
      </c>
      <c r="G61" s="13">
        <f t="shared" si="8"/>
        <v>4.5</v>
      </c>
    </row>
    <row r="62" spans="1:7" ht="12.75">
      <c r="A62" s="12">
        <f>COUNTIF(E$2:E62,E62)</f>
        <v>3</v>
      </c>
      <c r="B62" s="12">
        <v>5</v>
      </c>
      <c r="C62" s="12" t="str">
        <f t="shared" si="1"/>
        <v>Gary O'Dwyer3</v>
      </c>
      <c r="D62" s="12">
        <v>9</v>
      </c>
      <c r="E62" t="str">
        <f>+'Stage  Entry'!H18</f>
        <v>Gary O'Dwyer</v>
      </c>
      <c r="F62" s="119">
        <f>+'Stage  Entry'!I18</f>
        <v>0.01244212962962963</v>
      </c>
      <c r="G62" s="13">
        <f t="shared" si="8"/>
        <v>4.5</v>
      </c>
    </row>
    <row r="63" spans="1:7" ht="12.75">
      <c r="A63" s="12">
        <f>COUNTIF(E$2:E63,E63)</f>
        <v>3</v>
      </c>
      <c r="B63" s="12">
        <v>6</v>
      </c>
      <c r="C63" s="12" t="str">
        <f t="shared" si="1"/>
        <v>Chris Wright3</v>
      </c>
      <c r="D63" s="12">
        <v>9</v>
      </c>
      <c r="E63" t="str">
        <f>+'Stage  Entry'!H19</f>
        <v>Chris Wright</v>
      </c>
      <c r="F63" s="119">
        <f>+'Stage  Entry'!I19</f>
        <v>0.011307870370370371</v>
      </c>
      <c r="G63" s="13">
        <f t="shared" si="8"/>
        <v>4.5</v>
      </c>
    </row>
    <row r="64" spans="1:7" ht="12.75">
      <c r="A64" s="12">
        <f>COUNTIF(E$2:E64,E64)</f>
        <v>3</v>
      </c>
      <c r="B64" s="12">
        <v>7</v>
      </c>
      <c r="C64" s="12" t="str">
        <f>E64&amp;A64</f>
        <v>Simon Duffy3</v>
      </c>
      <c r="D64" s="12">
        <v>9</v>
      </c>
      <c r="E64" t="str">
        <f>+'Stage  Entry'!H20</f>
        <v>Simon Duffy</v>
      </c>
      <c r="F64" s="119">
        <f>+'Stage  Entry'!I20</f>
        <v>0.011122685185185185</v>
      </c>
      <c r="G64" s="13">
        <f t="shared" si="8"/>
        <v>4.5</v>
      </c>
    </row>
    <row r="65" spans="1:7" ht="12.75">
      <c r="A65" s="12">
        <f>COUNTIF(E$2:E65,E65)</f>
        <v>3</v>
      </c>
      <c r="B65" s="12">
        <v>1</v>
      </c>
      <c r="C65" s="12" t="str">
        <f t="shared" si="1"/>
        <v>Mark P &amp; Max H3</v>
      </c>
      <c r="D65" s="12">
        <v>10</v>
      </c>
      <c r="E65" t="str">
        <f>+'Stage  Entry'!M14</f>
        <v>Mark P &amp; Max H</v>
      </c>
      <c r="F65" s="119">
        <f>+'Stage  Entry'!N14</f>
        <v>0.010868055555555556</v>
      </c>
      <c r="G65" s="13">
        <f>'Stage  Entry'!$N$12</f>
        <v>3.5</v>
      </c>
    </row>
    <row r="66" spans="1:7" ht="12.75">
      <c r="A66" s="12">
        <f>COUNTIF(E$2:E66,E66)</f>
        <v>3</v>
      </c>
      <c r="B66" s="12">
        <v>2</v>
      </c>
      <c r="C66" s="12" t="str">
        <f t="shared" si="1"/>
        <v>Shirley Ching3</v>
      </c>
      <c r="D66" s="12">
        <v>10</v>
      </c>
      <c r="E66" t="str">
        <f>+'Stage  Entry'!M15</f>
        <v>Shirley Ching</v>
      </c>
      <c r="F66" s="119">
        <f>+'Stage  Entry'!N15</f>
        <v>0.011655092592592594</v>
      </c>
      <c r="G66" s="13">
        <f>'Stage  Entry'!$N$12</f>
        <v>3.5</v>
      </c>
    </row>
    <row r="67" spans="1:7" ht="12.75">
      <c r="A67" s="12">
        <f>COUNTIF(E$2:E67,E67)</f>
        <v>3</v>
      </c>
      <c r="B67" s="12">
        <v>3</v>
      </c>
      <c r="C67" s="12" t="str">
        <f aca="true" t="shared" si="9" ref="C67:C112">E67&amp;A67</f>
        <v>Emma Tinning3</v>
      </c>
      <c r="D67" s="12">
        <v>10</v>
      </c>
      <c r="E67" t="str">
        <f>+'Stage  Entry'!M16</f>
        <v>Emma Tinning</v>
      </c>
      <c r="F67" s="119">
        <f>+'Stage  Entry'!N16</f>
        <v>0.010844907407407407</v>
      </c>
      <c r="G67" s="13">
        <f>'Stage  Entry'!$N$12</f>
        <v>3.5</v>
      </c>
    </row>
    <row r="68" spans="1:7" ht="12.75">
      <c r="A68" s="12">
        <f>COUNTIF(E$2:E68,E68)</f>
        <v>3</v>
      </c>
      <c r="B68" s="12">
        <v>4</v>
      </c>
      <c r="C68" s="12" t="str">
        <f t="shared" si="9"/>
        <v>Michael Carney3</v>
      </c>
      <c r="D68" s="12">
        <v>10</v>
      </c>
      <c r="E68" t="str">
        <f>+'Stage  Entry'!M17</f>
        <v>Michael Carney</v>
      </c>
      <c r="F68" s="119">
        <f>+'Stage  Entry'!N17</f>
        <v>0.013217592592592593</v>
      </c>
      <c r="G68" s="13">
        <f>'Stage  Entry'!$N$12</f>
        <v>3.5</v>
      </c>
    </row>
    <row r="69" spans="1:7" ht="12.75">
      <c r="A69" s="12">
        <f>COUNTIF(E$2:E69,E69)</f>
        <v>3</v>
      </c>
      <c r="B69" s="12">
        <v>5</v>
      </c>
      <c r="C69" s="12" t="str">
        <f t="shared" si="9"/>
        <v>Hugh Hunter3</v>
      </c>
      <c r="D69" s="12">
        <v>10</v>
      </c>
      <c r="E69" t="str">
        <f>+'Stage  Entry'!M18</f>
        <v>Hugh Hunter</v>
      </c>
      <c r="F69" s="119">
        <f>+'Stage  Entry'!N18</f>
        <v>0.009965277777777778</v>
      </c>
      <c r="G69" s="13">
        <f>'Stage  Entry'!$N$12</f>
        <v>3.5</v>
      </c>
    </row>
    <row r="70" spans="1:7" ht="12.75">
      <c r="A70" s="12">
        <f>COUNTIF(E$2:E70,E70)</f>
        <v>3</v>
      </c>
      <c r="B70" s="12">
        <v>6</v>
      </c>
      <c r="C70" s="12" t="str">
        <f t="shared" si="9"/>
        <v>John Hand3</v>
      </c>
      <c r="D70" s="12">
        <v>10</v>
      </c>
      <c r="E70" t="str">
        <f>+'Stage  Entry'!M19</f>
        <v>John Hand</v>
      </c>
      <c r="F70" s="119">
        <f>+'Stage  Entry'!N19</f>
        <v>0.010300925925925927</v>
      </c>
      <c r="G70" s="13">
        <f>'Stage  Entry'!$N$12</f>
        <v>3.5</v>
      </c>
    </row>
    <row r="71" spans="1:7" ht="12.75">
      <c r="A71" s="12">
        <f>COUNTIF(E$2:E71,E71)</f>
        <v>3</v>
      </c>
      <c r="B71" s="12">
        <v>7</v>
      </c>
      <c r="C71" s="12" t="str">
        <f>E71&amp;A71</f>
        <v>Yin Kuan Ho3</v>
      </c>
      <c r="D71" s="12">
        <v>10</v>
      </c>
      <c r="E71" t="str">
        <f>+'Stage  Entry'!M20</f>
        <v>Yin Kuan Ho</v>
      </c>
      <c r="F71" s="119">
        <f>+'Stage  Entry'!N20</f>
        <v>0.010520833333333333</v>
      </c>
      <c r="G71" s="13">
        <f>'Stage  Entry'!$N$12</f>
        <v>3.5</v>
      </c>
    </row>
    <row r="72" spans="1:7" ht="12.75">
      <c r="A72" s="12">
        <f>COUNTIF(E$2:E72,E72)</f>
        <v>3</v>
      </c>
      <c r="B72" s="12">
        <v>1</v>
      </c>
      <c r="C72" s="12" t="str">
        <f t="shared" si="9"/>
        <v>Norval Hope3</v>
      </c>
      <c r="D72" s="12">
        <v>11</v>
      </c>
      <c r="E72" t="str">
        <f>+'Stage  Entry'!R14</f>
        <v>Norval Hope</v>
      </c>
      <c r="F72" s="119">
        <f>+'Stage  Entry'!S14</f>
        <v>0.011423611111111112</v>
      </c>
      <c r="G72" s="13">
        <f aca="true" t="shared" si="10" ref="G72:G78">+Dist9</f>
        <v>4.57</v>
      </c>
    </row>
    <row r="73" spans="1:7" ht="12.75">
      <c r="A73" s="12">
        <f>COUNTIF(E$2:E73,E73)</f>
        <v>3</v>
      </c>
      <c r="B73" s="12">
        <v>2</v>
      </c>
      <c r="C73" s="12" t="str">
        <f t="shared" si="9"/>
        <v>Glenn Goodman3</v>
      </c>
      <c r="D73" s="12">
        <v>11</v>
      </c>
      <c r="E73" t="str">
        <f>+'Stage  Entry'!R15</f>
        <v>Glenn Goodman</v>
      </c>
      <c r="F73" s="119">
        <f>+'Stage  Entry'!S15</f>
        <v>0.011712962962962965</v>
      </c>
      <c r="G73" s="13">
        <f t="shared" si="10"/>
        <v>4.57</v>
      </c>
    </row>
    <row r="74" spans="1:7" ht="12.75">
      <c r="A74" s="12">
        <f>COUNTIF(E$2:E74,E74)</f>
        <v>3</v>
      </c>
      <c r="B74" s="12">
        <v>3</v>
      </c>
      <c r="C74" s="12" t="str">
        <f t="shared" si="9"/>
        <v>Steve Miller3</v>
      </c>
      <c r="D74" s="12">
        <v>11</v>
      </c>
      <c r="E74" t="str">
        <f>+'Stage  Entry'!R16</f>
        <v>Steve Miller</v>
      </c>
      <c r="F74" s="119">
        <f>+'Stage  Entry'!S16</f>
        <v>0.01144675925925926</v>
      </c>
      <c r="G74" s="13">
        <f t="shared" si="10"/>
        <v>4.57</v>
      </c>
    </row>
    <row r="75" spans="1:7" ht="12.75">
      <c r="A75" s="12">
        <f>COUNTIF(E$2:E75,E75)</f>
        <v>3</v>
      </c>
      <c r="B75" s="12">
        <v>4</v>
      </c>
      <c r="C75" s="12" t="str">
        <f t="shared" si="9"/>
        <v>Kirsten Jackson3</v>
      </c>
      <c r="D75" s="12">
        <v>11</v>
      </c>
      <c r="E75" t="str">
        <f>+'Stage  Entry'!R17</f>
        <v>Kirsten Jackson</v>
      </c>
      <c r="F75" s="119">
        <f>+'Stage  Entry'!S17</f>
        <v>0.0125</v>
      </c>
      <c r="G75" s="13">
        <f t="shared" si="10"/>
        <v>4.57</v>
      </c>
    </row>
    <row r="76" spans="1:7" ht="12.75">
      <c r="A76" s="12">
        <f>COUNTIF(E$2:E76,E76)</f>
        <v>3</v>
      </c>
      <c r="B76" s="12">
        <v>5</v>
      </c>
      <c r="C76" s="12" t="str">
        <f t="shared" si="9"/>
        <v>Mark Deslandes3</v>
      </c>
      <c r="D76" s="12">
        <v>11</v>
      </c>
      <c r="E76" t="str">
        <f>+'Stage  Entry'!R18</f>
        <v>Mark Deslandes</v>
      </c>
      <c r="F76" s="119">
        <f>+'Stage  Entry'!S18</f>
        <v>0.011157407407407408</v>
      </c>
      <c r="G76" s="13">
        <f t="shared" si="10"/>
        <v>4.57</v>
      </c>
    </row>
    <row r="77" spans="1:7" ht="12.75">
      <c r="A77" s="12">
        <f>COUNTIF(E$2:E77,E77)</f>
        <v>3</v>
      </c>
      <c r="B77" s="12">
        <v>6</v>
      </c>
      <c r="C77" s="12" t="str">
        <f t="shared" si="9"/>
        <v>Terry Wright3</v>
      </c>
      <c r="D77" s="12">
        <v>11</v>
      </c>
      <c r="E77" t="str">
        <f>+'Stage  Entry'!R19</f>
        <v>Terry Wright</v>
      </c>
      <c r="F77" s="119">
        <f>+'Stage  Entry'!S19</f>
        <v>0.012453703703703703</v>
      </c>
      <c r="G77" s="13">
        <f t="shared" si="10"/>
        <v>4.57</v>
      </c>
    </row>
    <row r="78" spans="1:7" ht="12.75">
      <c r="A78" s="12">
        <f>COUNTIF(E$2:E78,E78)</f>
        <v>3</v>
      </c>
      <c r="B78" s="12">
        <v>7</v>
      </c>
      <c r="C78" s="12" t="str">
        <f>E78&amp;A78</f>
        <v>Dave Percival3</v>
      </c>
      <c r="D78" s="12">
        <v>11</v>
      </c>
      <c r="E78" t="str">
        <f>+'Stage  Entry'!R20</f>
        <v>Dave Percival</v>
      </c>
      <c r="F78" s="119">
        <f>+'Stage  Entry'!S20</f>
        <v>0.012013888888888888</v>
      </c>
      <c r="G78" s="13">
        <f t="shared" si="10"/>
        <v>4.57</v>
      </c>
    </row>
    <row r="79" spans="1:7" ht="12.75">
      <c r="A79" s="12">
        <f>COUNTIF(E$2:E79,E79)</f>
        <v>4</v>
      </c>
      <c r="B79" s="12">
        <v>1</v>
      </c>
      <c r="C79" s="12" t="str">
        <f t="shared" si="9"/>
        <v>Mark P &amp; Max H4</v>
      </c>
      <c r="D79" s="12">
        <v>12</v>
      </c>
      <c r="E79" t="str">
        <f>+'Stage  Entry'!W14</f>
        <v>Mark P &amp; Max H</v>
      </c>
      <c r="F79" s="119">
        <f>+'Stage  Entry'!X14</f>
        <v>0.008391203703703705</v>
      </c>
      <c r="G79" s="13">
        <f aca="true" t="shared" si="11" ref="G79:G85">+Dist10</f>
        <v>2.83</v>
      </c>
    </row>
    <row r="80" spans="1:7" ht="12.75">
      <c r="A80" s="12">
        <f>COUNTIF(E$2:E80,E80)</f>
        <v>4</v>
      </c>
      <c r="B80" s="12">
        <v>2</v>
      </c>
      <c r="C80" s="12" t="str">
        <f t="shared" si="9"/>
        <v>Shirley Ching4</v>
      </c>
      <c r="D80" s="12">
        <v>12</v>
      </c>
      <c r="E80" t="str">
        <f>+'Stage  Entry'!W15</f>
        <v>Shirley Ching</v>
      </c>
      <c r="F80" s="119">
        <f>+'Stage  Entry'!X15</f>
        <v>0.009189814814814814</v>
      </c>
      <c r="G80" s="13">
        <f t="shared" si="11"/>
        <v>2.83</v>
      </c>
    </row>
    <row r="81" spans="1:7" ht="12.75">
      <c r="A81" s="12">
        <f>COUNTIF(E$2:E81,E81)</f>
        <v>4</v>
      </c>
      <c r="B81" s="12">
        <v>3</v>
      </c>
      <c r="C81" s="12" t="str">
        <f t="shared" si="9"/>
        <v>Emma Tinning4</v>
      </c>
      <c r="D81" s="12">
        <v>12</v>
      </c>
      <c r="E81" t="str">
        <f>+'Stage  Entry'!W16</f>
        <v>Emma Tinning</v>
      </c>
      <c r="F81" s="119">
        <f>+'Stage  Entry'!X16</f>
        <v>0.008055555555555555</v>
      </c>
      <c r="G81" s="13">
        <f t="shared" si="11"/>
        <v>2.83</v>
      </c>
    </row>
    <row r="82" spans="1:7" ht="12.75">
      <c r="A82" s="12">
        <f>COUNTIF(E$2:E82,E82)</f>
        <v>4</v>
      </c>
      <c r="B82" s="12">
        <v>4</v>
      </c>
      <c r="C82" s="12" t="str">
        <f t="shared" si="9"/>
        <v>Michael Carney4</v>
      </c>
      <c r="D82" s="12">
        <v>12</v>
      </c>
      <c r="E82" t="str">
        <f>+'Stage  Entry'!W17</f>
        <v>Michael Carney</v>
      </c>
      <c r="F82" s="119">
        <f>+'Stage  Entry'!X17</f>
        <v>0.010416666666666666</v>
      </c>
      <c r="G82" s="13">
        <f t="shared" si="11"/>
        <v>2.83</v>
      </c>
    </row>
    <row r="83" spans="1:7" ht="12.75">
      <c r="A83" s="12">
        <f>COUNTIF(E$2:E83,E83)</f>
        <v>4</v>
      </c>
      <c r="B83" s="12">
        <v>5</v>
      </c>
      <c r="C83" s="12" t="str">
        <f t="shared" si="9"/>
        <v>Hugh Hunter4</v>
      </c>
      <c r="D83" s="12">
        <v>12</v>
      </c>
      <c r="E83" t="str">
        <f>+'Stage  Entry'!W18</f>
        <v>Hugh Hunter</v>
      </c>
      <c r="F83" s="119">
        <f>+'Stage  Entry'!X18</f>
        <v>0.007395833333333334</v>
      </c>
      <c r="G83" s="13">
        <f t="shared" si="11"/>
        <v>2.83</v>
      </c>
    </row>
    <row r="84" spans="1:7" ht="12.75">
      <c r="A84" s="12">
        <f>COUNTIF(E$2:E84,E84)</f>
        <v>4</v>
      </c>
      <c r="B84" s="12">
        <v>6</v>
      </c>
      <c r="C84" s="12" t="str">
        <f t="shared" si="9"/>
        <v>John Hand4</v>
      </c>
      <c r="D84" s="12">
        <v>12</v>
      </c>
      <c r="E84" t="str">
        <f>+'Stage  Entry'!W19</f>
        <v>John Hand</v>
      </c>
      <c r="F84" s="119">
        <f>+'Stage  Entry'!X19</f>
        <v>0.007893518518518518</v>
      </c>
      <c r="G84" s="13">
        <f t="shared" si="11"/>
        <v>2.83</v>
      </c>
    </row>
    <row r="85" spans="1:7" ht="12.75">
      <c r="A85" s="12">
        <f>COUNTIF(E$2:E85,E85)</f>
        <v>4</v>
      </c>
      <c r="B85" s="12">
        <v>7</v>
      </c>
      <c r="C85" s="12" t="str">
        <f>E85&amp;A85</f>
        <v>Yin Kuan Ho4</v>
      </c>
      <c r="D85" s="12">
        <v>12</v>
      </c>
      <c r="E85" t="str">
        <f>+'Stage  Entry'!W20</f>
        <v>Yin Kuan Ho</v>
      </c>
      <c r="F85" s="119">
        <f>+'Stage  Entry'!X20</f>
        <v>0.00835648148148148</v>
      </c>
      <c r="G85" s="13">
        <f t="shared" si="11"/>
        <v>2.83</v>
      </c>
    </row>
    <row r="86" spans="1:7" ht="12.75">
      <c r="A86" s="12">
        <f>COUNTIF(E$2:E86,E86)</f>
        <v>3</v>
      </c>
      <c r="B86" s="12">
        <v>1</v>
      </c>
      <c r="C86" s="12" t="str">
        <f t="shared" si="9"/>
        <v>Stephen Paine3</v>
      </c>
      <c r="D86" s="12">
        <v>13</v>
      </c>
      <c r="E86" t="str">
        <f>+'Stage  Entry'!AB14</f>
        <v>Stephen Paine</v>
      </c>
      <c r="F86" s="119">
        <f>+'Stage  Entry'!AC14</f>
        <v>0.01042824074074074</v>
      </c>
      <c r="G86" s="13">
        <f aca="true" t="shared" si="12" ref="G86:G92">+Dist11</f>
        <v>4.75</v>
      </c>
    </row>
    <row r="87" spans="1:7" ht="12.75">
      <c r="A87" s="12">
        <f>COUNTIF(E$2:E87,E87)</f>
        <v>3</v>
      </c>
      <c r="B87" s="12">
        <v>2</v>
      </c>
      <c r="C87" s="12" t="str">
        <f t="shared" si="9"/>
        <v>Troy Williams3</v>
      </c>
      <c r="D87" s="12">
        <v>13</v>
      </c>
      <c r="E87" t="str">
        <f>+'Stage  Entry'!AB15</f>
        <v>Troy Williams</v>
      </c>
      <c r="F87" s="119">
        <f>+'Stage  Entry'!AC15</f>
        <v>0.011284722222222222</v>
      </c>
      <c r="G87" s="13">
        <f t="shared" si="12"/>
        <v>4.75</v>
      </c>
    </row>
    <row r="88" spans="1:7" ht="12.75">
      <c r="A88" s="12">
        <f>COUNTIF(E$2:E88,E88)</f>
        <v>3</v>
      </c>
      <c r="B88" s="12">
        <v>3</v>
      </c>
      <c r="C88" s="12" t="str">
        <f t="shared" si="9"/>
        <v>David Venour3</v>
      </c>
      <c r="D88" s="12">
        <v>13</v>
      </c>
      <c r="E88" t="str">
        <f>+'Stage  Entry'!AB16</f>
        <v>David Venour</v>
      </c>
      <c r="F88" s="119">
        <f>+'Stage  Entry'!AC16</f>
        <v>0.011145833333333334</v>
      </c>
      <c r="G88" s="13">
        <f t="shared" si="12"/>
        <v>4.75</v>
      </c>
    </row>
    <row r="89" spans="1:7" ht="12.75">
      <c r="A89" s="12">
        <f>COUNTIF(E$2:E89,E89)</f>
        <v>3</v>
      </c>
      <c r="B89" s="12">
        <v>4</v>
      </c>
      <c r="C89" s="12" t="str">
        <f t="shared" si="9"/>
        <v>Selim Ahmed3</v>
      </c>
      <c r="D89" s="12">
        <v>13</v>
      </c>
      <c r="E89" t="str">
        <f>+'Stage  Entry'!AB17</f>
        <v>Selim Ahmed</v>
      </c>
      <c r="F89" s="119">
        <f>+'Stage  Entry'!AC17</f>
        <v>0.015601851851851851</v>
      </c>
      <c r="G89" s="13">
        <f t="shared" si="12"/>
        <v>4.75</v>
      </c>
    </row>
    <row r="90" spans="1:7" ht="12.75">
      <c r="A90" s="12">
        <f>COUNTIF(E$2:E90,E90)</f>
        <v>3</v>
      </c>
      <c r="B90" s="12">
        <v>5</v>
      </c>
      <c r="C90" s="12" t="str">
        <f t="shared" si="9"/>
        <v>Shane Fielding3</v>
      </c>
      <c r="D90" s="12">
        <v>13</v>
      </c>
      <c r="E90" t="str">
        <f>+'Stage  Entry'!AB18</f>
        <v>Shane Fielding</v>
      </c>
      <c r="F90" s="119">
        <f>+'Stage  Entry'!AC18</f>
        <v>0.011296296296296296</v>
      </c>
      <c r="G90" s="13">
        <f t="shared" si="12"/>
        <v>4.75</v>
      </c>
    </row>
    <row r="91" spans="1:7" ht="12.75">
      <c r="A91" s="12">
        <f>COUNTIF(E$2:E91,E91)</f>
        <v>3</v>
      </c>
      <c r="B91" s="12">
        <v>6</v>
      </c>
      <c r="C91" s="12" t="str">
        <f t="shared" si="9"/>
        <v>Bruce Arthur3</v>
      </c>
      <c r="D91" s="12">
        <v>13</v>
      </c>
      <c r="E91" t="str">
        <f>+'Stage  Entry'!AB19</f>
        <v>Bruce Arthur</v>
      </c>
      <c r="F91" s="119">
        <f>+'Stage  Entry'!AC19</f>
        <v>0.011423611111111112</v>
      </c>
      <c r="G91" s="13">
        <f t="shared" si="12"/>
        <v>4.75</v>
      </c>
    </row>
    <row r="92" spans="1:7" ht="12.75">
      <c r="A92" s="12">
        <f>COUNTIF(E$2:E92,E92)</f>
        <v>3</v>
      </c>
      <c r="B92" s="12">
        <v>7</v>
      </c>
      <c r="C92" s="12" t="str">
        <f>E92&amp;A92</f>
        <v>Anthony Mithen3</v>
      </c>
      <c r="D92" s="12">
        <v>13</v>
      </c>
      <c r="E92" t="str">
        <f>+'Stage  Entry'!AB20</f>
        <v>Anthony Mithen</v>
      </c>
      <c r="F92" s="119">
        <f>+'Stage  Entry'!AC20</f>
        <v>0.011666666666666667</v>
      </c>
      <c r="G92" s="13">
        <f t="shared" si="12"/>
        <v>4.75</v>
      </c>
    </row>
    <row r="93" spans="1:7" ht="12.75">
      <c r="A93" s="12">
        <f>COUNTIF(E$2:E93,E93)</f>
        <v>4</v>
      </c>
      <c r="B93" s="12">
        <v>1</v>
      </c>
      <c r="C93" s="12" t="str">
        <f t="shared" si="9"/>
        <v>Thai Phan4</v>
      </c>
      <c r="D93" s="12">
        <v>14</v>
      </c>
      <c r="E93" t="str">
        <f>+'Stage  Entry'!AG14</f>
        <v>Thai Phan</v>
      </c>
      <c r="F93" s="119">
        <f>+'Stage  Entry'!AH14</f>
        <v>0.01085648148148148</v>
      </c>
      <c r="G93" s="13">
        <f aca="true" t="shared" si="13" ref="G93:G99">+Dist12</f>
        <v>4.2</v>
      </c>
    </row>
    <row r="94" spans="1:7" ht="12.75">
      <c r="A94" s="12">
        <f>COUNTIF(E$2:E94,E94)</f>
        <v>4</v>
      </c>
      <c r="B94" s="12">
        <v>2</v>
      </c>
      <c r="C94" s="12" t="str">
        <f t="shared" si="9"/>
        <v>Matt Clark4</v>
      </c>
      <c r="D94" s="12">
        <v>14</v>
      </c>
      <c r="E94" t="str">
        <f>+'Stage  Entry'!AG15</f>
        <v>Matt Clark</v>
      </c>
      <c r="F94" s="119">
        <f>+'Stage  Entry'!AH15</f>
        <v>0.011828703703703704</v>
      </c>
      <c r="G94" s="13">
        <f t="shared" si="13"/>
        <v>4.2</v>
      </c>
    </row>
    <row r="95" spans="1:7" ht="12.75">
      <c r="A95" s="12">
        <f>COUNTIF(E$2:E95,E95)</f>
        <v>4</v>
      </c>
      <c r="B95" s="12">
        <v>3</v>
      </c>
      <c r="C95" s="12" t="str">
        <f t="shared" si="9"/>
        <v>Rory Heddles4</v>
      </c>
      <c r="D95" s="12">
        <v>14</v>
      </c>
      <c r="E95" t="str">
        <f>+'Stage  Entry'!AG16</f>
        <v>Rory Heddles</v>
      </c>
      <c r="F95" s="119">
        <f>+'Stage  Entry'!AH16</f>
        <v>0.011087962962962964</v>
      </c>
      <c r="G95" s="13">
        <f t="shared" si="13"/>
        <v>4.2</v>
      </c>
    </row>
    <row r="96" spans="1:7" ht="12.75">
      <c r="A96" s="12">
        <f>COUNTIF(E$2:E96,E96)</f>
        <v>4</v>
      </c>
      <c r="B96" s="12">
        <v>4</v>
      </c>
      <c r="C96" s="12" t="str">
        <f t="shared" si="9"/>
        <v>Kirsten Jackson4</v>
      </c>
      <c r="D96" s="12">
        <v>14</v>
      </c>
      <c r="E96" t="str">
        <f>+'Stage  Entry'!AG17</f>
        <v>Kirsten Jackson</v>
      </c>
      <c r="F96" s="119">
        <f>+'Stage  Entry'!AH17</f>
        <v>0.011805555555555555</v>
      </c>
      <c r="G96" s="13">
        <f t="shared" si="13"/>
        <v>4.2</v>
      </c>
    </row>
    <row r="97" spans="1:7" ht="12.75">
      <c r="A97" s="12">
        <f>COUNTIF(E$2:E97,E97)</f>
        <v>4</v>
      </c>
      <c r="B97" s="12">
        <v>5</v>
      </c>
      <c r="C97" s="12" t="str">
        <f t="shared" si="9"/>
        <v>Gary O'Dwyer4</v>
      </c>
      <c r="D97" s="12">
        <v>14</v>
      </c>
      <c r="E97" t="str">
        <f>+'Stage  Entry'!AG18</f>
        <v>Gary O'Dwyer</v>
      </c>
      <c r="F97" s="119">
        <f>+'Stage  Entry'!AH18</f>
        <v>0.011481481481481483</v>
      </c>
      <c r="G97" s="13">
        <f t="shared" si="13"/>
        <v>4.2</v>
      </c>
    </row>
    <row r="98" spans="1:7" ht="12.75">
      <c r="A98" s="12">
        <f>COUNTIF(E$2:E98,E98)</f>
        <v>4</v>
      </c>
      <c r="B98" s="12">
        <v>6</v>
      </c>
      <c r="C98" s="12" t="str">
        <f t="shared" si="9"/>
        <v>Terry Wright4</v>
      </c>
      <c r="D98" s="12">
        <v>14</v>
      </c>
      <c r="E98" t="str">
        <f>+'Stage  Entry'!AG19</f>
        <v>Terry Wright</v>
      </c>
      <c r="F98" s="119">
        <f>+'Stage  Entry'!AH19</f>
        <v>0.011770833333333333</v>
      </c>
      <c r="G98" s="13">
        <f t="shared" si="13"/>
        <v>4.2</v>
      </c>
    </row>
    <row r="99" spans="1:7" ht="12.75">
      <c r="A99" s="12">
        <f>COUNTIF(E$2:E99,E99)</f>
        <v>4</v>
      </c>
      <c r="B99" s="12">
        <v>7</v>
      </c>
      <c r="C99" s="12" t="str">
        <f>E99&amp;A99</f>
        <v>Dave Percival4</v>
      </c>
      <c r="D99" s="12">
        <v>14</v>
      </c>
      <c r="E99" t="str">
        <f>+'Stage  Entry'!AG20</f>
        <v>Dave Percival</v>
      </c>
      <c r="F99" s="119">
        <f>+'Stage  Entry'!AH20</f>
        <v>0.011458333333333334</v>
      </c>
      <c r="G99" s="13">
        <f t="shared" si="13"/>
        <v>4.2</v>
      </c>
    </row>
    <row r="100" spans="1:7" ht="12.75">
      <c r="A100" s="12">
        <f>COUNTIF(E$2:E100,E100)</f>
        <v>4</v>
      </c>
      <c r="B100" s="12">
        <v>1</v>
      </c>
      <c r="C100" s="12" t="str">
        <f t="shared" si="9"/>
        <v>Norval Hope4</v>
      </c>
      <c r="D100" s="12">
        <v>15</v>
      </c>
      <c r="E100" t="str">
        <f>+'Stage  Entry'!AL14</f>
        <v>Norval Hope</v>
      </c>
      <c r="F100" s="119">
        <f>+'Stage  Entry'!AM14</f>
        <v>0.01329861111111111</v>
      </c>
      <c r="G100" s="13">
        <f aca="true" t="shared" si="14" ref="G100:G106">+Dist13</f>
        <v>4.8</v>
      </c>
    </row>
    <row r="101" spans="1:7" ht="12.75">
      <c r="A101" s="12">
        <f>COUNTIF(E$2:E101,E101)</f>
        <v>4</v>
      </c>
      <c r="B101" s="12">
        <v>2</v>
      </c>
      <c r="C101" s="12" t="str">
        <f t="shared" si="9"/>
        <v>Glenn Goodman4</v>
      </c>
      <c r="D101" s="12">
        <v>15</v>
      </c>
      <c r="E101" t="str">
        <f>+'Stage  Entry'!AL15</f>
        <v>Glenn Goodman</v>
      </c>
      <c r="F101" s="119">
        <f>+'Stage  Entry'!AM15</f>
        <v>0.013668981481481482</v>
      </c>
      <c r="G101" s="13">
        <f t="shared" si="14"/>
        <v>4.8</v>
      </c>
    </row>
    <row r="102" spans="1:7" ht="12.75">
      <c r="A102" s="12">
        <f>COUNTIF(E$2:E102,E102)</f>
        <v>4</v>
      </c>
      <c r="B102" s="12">
        <v>3</v>
      </c>
      <c r="C102" s="12" t="str">
        <f t="shared" si="9"/>
        <v>Steve Miller4</v>
      </c>
      <c r="D102" s="12">
        <v>15</v>
      </c>
      <c r="E102" t="str">
        <f>+'Stage  Entry'!AL16</f>
        <v>Steve Miller</v>
      </c>
      <c r="F102" s="119">
        <f>+'Stage  Entry'!AM16</f>
        <v>0.013506944444444445</v>
      </c>
      <c r="G102" s="13">
        <f t="shared" si="14"/>
        <v>4.8</v>
      </c>
    </row>
    <row r="103" spans="1:7" ht="12.75">
      <c r="A103" s="12">
        <f>COUNTIF(E$2:E103,E103)</f>
        <v>4</v>
      </c>
      <c r="B103" s="12">
        <v>4</v>
      </c>
      <c r="C103" s="12" t="str">
        <f t="shared" si="9"/>
        <v>Selim Ahmed4</v>
      </c>
      <c r="D103" s="12">
        <v>15</v>
      </c>
      <c r="E103" t="str">
        <f>+'Stage  Entry'!AL17</f>
        <v>Selim Ahmed</v>
      </c>
      <c r="F103" s="119">
        <f>+'Stage  Entry'!AM17</f>
        <v>0.014467592592592593</v>
      </c>
      <c r="G103" s="13">
        <f t="shared" si="14"/>
        <v>4.8</v>
      </c>
    </row>
    <row r="104" spans="1:7" ht="12.75">
      <c r="A104" s="12">
        <f>COUNTIF(E$2:E104,E104)</f>
        <v>4</v>
      </c>
      <c r="B104" s="12">
        <v>5</v>
      </c>
      <c r="C104" s="12" t="str">
        <f t="shared" si="9"/>
        <v>Mark Deslandes4</v>
      </c>
      <c r="D104" s="12">
        <v>15</v>
      </c>
      <c r="E104" t="str">
        <f>+'Stage  Entry'!AL18</f>
        <v>Mark Deslandes</v>
      </c>
      <c r="F104" s="119">
        <f>+'Stage  Entry'!AM18</f>
        <v>0.012627314814814815</v>
      </c>
      <c r="G104" s="13">
        <f t="shared" si="14"/>
        <v>4.8</v>
      </c>
    </row>
    <row r="105" spans="1:7" ht="12.75">
      <c r="A105" s="12">
        <f>COUNTIF(E$2:E105,E105)</f>
        <v>4</v>
      </c>
      <c r="B105" s="12">
        <v>6</v>
      </c>
      <c r="C105" s="12" t="str">
        <f t="shared" si="9"/>
        <v>Chris Wright4</v>
      </c>
      <c r="D105" s="12">
        <v>15</v>
      </c>
      <c r="E105" t="str">
        <f>+'Stage  Entry'!AL19</f>
        <v>Chris Wright</v>
      </c>
      <c r="F105" s="119">
        <f>+'Stage  Entry'!AM19</f>
        <v>0.013460648148148147</v>
      </c>
      <c r="G105" s="13">
        <f t="shared" si="14"/>
        <v>4.8</v>
      </c>
    </row>
    <row r="106" spans="1:7" ht="12.75">
      <c r="A106" s="12">
        <f>COUNTIF(E$2:E106,E106)</f>
        <v>4</v>
      </c>
      <c r="B106" s="12">
        <v>7</v>
      </c>
      <c r="C106" s="12" t="str">
        <f>E106&amp;A106</f>
        <v>Simon Duffy4</v>
      </c>
      <c r="D106" s="12">
        <v>15</v>
      </c>
      <c r="E106" t="str">
        <f>+'Stage  Entry'!AL20</f>
        <v>Simon Duffy</v>
      </c>
      <c r="F106" s="119">
        <f>+'Stage  Entry'!AM20</f>
        <v>0.014525462962962964</v>
      </c>
      <c r="G106" s="13">
        <f t="shared" si="14"/>
        <v>4.8</v>
      </c>
    </row>
    <row r="107" spans="1:7" ht="12.75">
      <c r="A107" s="12">
        <f>COUNTIF(E$2:E107,E107)</f>
        <v>4</v>
      </c>
      <c r="B107" s="12">
        <v>1</v>
      </c>
      <c r="C107" s="12" t="str">
        <f t="shared" si="9"/>
        <v>Stephen Paine4</v>
      </c>
      <c r="D107" s="12">
        <v>16</v>
      </c>
      <c r="E107" t="str">
        <f>+'Stage  Entry'!AQ14</f>
        <v>Stephen Paine</v>
      </c>
      <c r="F107" s="119">
        <f>+'Stage  Entry'!AR14</f>
        <v>0.01298611111111111</v>
      </c>
      <c r="G107" s="13">
        <f aca="true" t="shared" si="15" ref="G107:G113">+Dist14</f>
        <v>5.6</v>
      </c>
    </row>
    <row r="108" spans="1:7" ht="12.75">
      <c r="A108" s="12">
        <f>COUNTIF(E$2:E108,E108)</f>
        <v>4</v>
      </c>
      <c r="B108" s="12">
        <v>2</v>
      </c>
      <c r="C108" s="12" t="str">
        <f t="shared" si="9"/>
        <v>Troy Williams4</v>
      </c>
      <c r="D108" s="12">
        <v>16</v>
      </c>
      <c r="E108" t="str">
        <f>+'Stage  Entry'!AQ15</f>
        <v>Troy Williams</v>
      </c>
      <c r="F108" s="119">
        <f>+'Stage  Entry'!AR15</f>
        <v>0.014930555555555556</v>
      </c>
      <c r="G108" s="13">
        <f t="shared" si="15"/>
        <v>5.6</v>
      </c>
    </row>
    <row r="109" spans="1:7" ht="12.75">
      <c r="A109" s="12">
        <f>COUNTIF(E$2:E109,E109)</f>
        <v>4</v>
      </c>
      <c r="B109" s="12">
        <v>3</v>
      </c>
      <c r="C109" s="12" t="str">
        <f t="shared" si="9"/>
        <v>David Venour4</v>
      </c>
      <c r="D109" s="12">
        <v>16</v>
      </c>
      <c r="E109" t="str">
        <f>+'Stage  Entry'!AQ16</f>
        <v>David Venour</v>
      </c>
      <c r="F109" s="119">
        <f>+'Stage  Entry'!AR16</f>
        <v>0.014421296296296295</v>
      </c>
      <c r="G109" s="13">
        <f t="shared" si="15"/>
        <v>5.6</v>
      </c>
    </row>
    <row r="110" spans="1:7" ht="12.75">
      <c r="A110" s="12">
        <f>COUNTIF(E$2:E110,E110)</f>
        <v>4</v>
      </c>
      <c r="B110" s="12">
        <v>4</v>
      </c>
      <c r="C110" s="12" t="str">
        <f t="shared" si="9"/>
        <v>Andrew Coles4</v>
      </c>
      <c r="D110" s="12">
        <v>16</v>
      </c>
      <c r="E110" t="str">
        <f>+'Stage  Entry'!AQ17</f>
        <v>Andrew Coles</v>
      </c>
      <c r="F110" s="119">
        <f>+'Stage  Entry'!AR17</f>
        <v>0.013796296296296298</v>
      </c>
      <c r="G110" s="13">
        <f t="shared" si="15"/>
        <v>5.6</v>
      </c>
    </row>
    <row r="111" spans="1:7" ht="12.75">
      <c r="A111" s="12">
        <f>COUNTIF(E$2:E111,E111)</f>
        <v>4</v>
      </c>
      <c r="B111" s="12">
        <v>5</v>
      </c>
      <c r="C111" s="12" t="str">
        <f t="shared" si="9"/>
        <v>Shane Fielding4</v>
      </c>
      <c r="D111" s="12">
        <v>16</v>
      </c>
      <c r="E111" t="str">
        <f>+'Stage  Entry'!AQ18</f>
        <v>Shane Fielding</v>
      </c>
      <c r="F111" s="119">
        <f>+'Stage  Entry'!AR18</f>
        <v>0.014571759259259258</v>
      </c>
      <c r="G111" s="13">
        <f t="shared" si="15"/>
        <v>5.6</v>
      </c>
    </row>
    <row r="112" spans="1:7" ht="12.75">
      <c r="A112" s="12">
        <f>COUNTIF(E$2:E112,E112)</f>
        <v>4</v>
      </c>
      <c r="B112" s="12">
        <v>6</v>
      </c>
      <c r="C112" s="12" t="str">
        <f t="shared" si="9"/>
        <v>Bruce Arthur4</v>
      </c>
      <c r="D112" s="12">
        <v>16</v>
      </c>
      <c r="E112" t="str">
        <f>+'Stage  Entry'!AQ19</f>
        <v>Bruce Arthur</v>
      </c>
      <c r="F112" s="119">
        <f>+'Stage  Entry'!AR19</f>
        <v>0.014699074074074074</v>
      </c>
      <c r="G112" s="13">
        <f t="shared" si="15"/>
        <v>5.6</v>
      </c>
    </row>
    <row r="113" spans="1:7" ht="12.75">
      <c r="A113" s="12">
        <f>COUNTIF(E$2:E113,E113)</f>
        <v>4</v>
      </c>
      <c r="B113" s="12">
        <v>7</v>
      </c>
      <c r="C113" s="12" t="str">
        <f>E113&amp;A113</f>
        <v>Anthony Mithen4</v>
      </c>
      <c r="D113" s="12">
        <v>16</v>
      </c>
      <c r="E113" t="str">
        <f>+'Stage  Entry'!AQ20</f>
        <v>Anthony Mithen</v>
      </c>
      <c r="F113" s="119">
        <f>+'Stage  Entry'!AR20</f>
        <v>0.015752314814814813</v>
      </c>
      <c r="G113" s="13">
        <f t="shared" si="15"/>
        <v>5.6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Mathews</dc:creator>
  <cp:keywords/>
  <dc:description/>
  <cp:lastModifiedBy>goodmang</cp:lastModifiedBy>
  <cp:lastPrinted>2007-11-04T21:20:19Z</cp:lastPrinted>
  <dcterms:created xsi:type="dcterms:W3CDTF">2001-03-07T08:50:40Z</dcterms:created>
  <dcterms:modified xsi:type="dcterms:W3CDTF">2011-03-27T22:30:09Z</dcterms:modified>
  <cp:category/>
  <cp:version/>
  <cp:contentType/>
  <cp:contentStatus/>
</cp:coreProperties>
</file>