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5985" tabRatio="478" activeTab="1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Entry'!$AC$8</definedName>
    <definedName name="Dist11">'Stage  Entry'!$AH$8</definedName>
    <definedName name="Dist12">'Stage  Entry'!$AM$8</definedName>
    <definedName name="Dist13">'Stage  Entry'!$AR$8</definedName>
    <definedName name="Dist14">'Stage  Entry'!$AW$8</definedName>
    <definedName name="Dist2">'Stage  Entry'!$X$2</definedName>
    <definedName name="Dist3">'Stage  Entry'!$AC$2</definedName>
    <definedName name="Dist4">'Stage  Entry'!$AH$2</definedName>
    <definedName name="Dist5">'Stage  Entry'!$AM$2</definedName>
    <definedName name="Dist6">'Stage  Entry'!$AR$2</definedName>
    <definedName name="Dist7">'Stage  Entry'!$AW$2</definedName>
    <definedName name="Dist8">'Stage  Entry'!$I$8</definedName>
    <definedName name="Dist9">'Stage  Entry'!$X$8</definedName>
    <definedName name="_xlnm.Print_Area" localSheetId="1">'Stage  Entry'!$A$1:$BE$12</definedName>
    <definedName name="_xlnm.Print_Area" localSheetId="0">'Team Selection'!$B$1:$J$5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Selection'!#REF!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Selection'!#REF!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<sst xmlns="http://schemas.openxmlformats.org/spreadsheetml/2006/main" count="423" uniqueCount="76">
  <si>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</si>
  <si>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</si>
  <si>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</si>
  <si>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</si>
  <si>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</si>
  <si>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</si>
  <si>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</si>
  <si>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</si>
  <si>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</si>
  <si>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</si>
  <si>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</si>
  <si>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</si>
  <si>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</si>
  <si>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</si>
  <si>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</si>
  <si>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</si>
  <si>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</si>
  <si>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</si>
  <si>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</si>
  <si>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</si>
  <si>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</si>
  <si>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</si>
  <si>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</si>
  <si>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</si>
  <si>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</si>
  <si>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</si>
  <si>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</si>
  <si>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</si>
  <si>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</si>
  <si>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</si>
  <si>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</si>
  <si>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</si>
  <si>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</si>
  <si>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</si>
  <si>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</si>
  <si>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</si>
  <si>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</si>
  <si>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</si>
  <si>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</si>
  <si>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</si>
  <si>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</si>
  <si>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</si>
  <si>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</si>
  <si>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</si>
  <si>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</si>
  <si>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Stage 1 TT #1</t>
  </si>
  <si>
    <t>Stage 1 TT #2</t>
  </si>
  <si>
    <t>Stage 8 TT #1</t>
  </si>
  <si>
    <t>Stage 8 TT #2</t>
  </si>
  <si>
    <t>1 #1</t>
  </si>
  <si>
    <t>1 #2</t>
  </si>
  <si>
    <t>8 #1</t>
  </si>
  <si>
    <t>8 #2</t>
  </si>
  <si>
    <t>Combined</t>
  </si>
  <si>
    <t>Count Name</t>
  </si>
  <si>
    <t>Seeding Order</t>
  </si>
  <si>
    <t>Selection Metric?</t>
  </si>
  <si>
    <t>Stage 1 TT</t>
  </si>
  <si>
    <t>Stage 8 TT</t>
  </si>
  <si>
    <t>Stephen Paine</t>
  </si>
  <si>
    <t>Penalties</t>
  </si>
  <si>
    <t>Comment</t>
  </si>
  <si>
    <t>Rory Heddles</t>
  </si>
  <si>
    <t>Thai Phan</t>
  </si>
  <si>
    <t>Dale Nardella</t>
  </si>
  <si>
    <t>Andrew Coles</t>
  </si>
  <si>
    <t>David Venour</t>
  </si>
  <si>
    <t>John Charles</t>
  </si>
  <si>
    <t>Norval Hope</t>
  </si>
  <si>
    <t>Katie Seibold</t>
  </si>
  <si>
    <t>Tony Hally</t>
  </si>
  <si>
    <t>Garth Calder</t>
  </si>
  <si>
    <t>John Hand</t>
  </si>
  <si>
    <t>Where's Our Captain?</t>
  </si>
  <si>
    <t>Monumental Selection Error</t>
  </si>
  <si>
    <t>Status Quo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</si>
</sst>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3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b/>
      <sz val="10"/>
      <color indexed="2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22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7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16" xfId="0" applyNumberFormat="1" applyFont="1" applyBorder="1" applyAlignment="1">
      <alignment horizontal="centerContinuous"/>
    </xf>
    <xf numFmtId="172" fontId="2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Continuous"/>
    </xf>
    <xf numFmtId="2" fontId="2" fillId="0" borderId="14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Continuous"/>
    </xf>
    <xf numFmtId="17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2" fontId="2" fillId="22" borderId="20" xfId="0" applyNumberFormat="1" applyFont="1" applyFill="1" applyBorder="1" applyAlignment="1" applyProtection="1">
      <alignment horizontal="center" vertical="center"/>
      <protection/>
    </xf>
    <xf numFmtId="0" fontId="2" fillId="22" borderId="21" xfId="0" applyFont="1" applyFill="1" applyBorder="1" applyAlignment="1" applyProtection="1">
      <alignment horizontal="center" vertical="center"/>
      <protection/>
    </xf>
    <xf numFmtId="0" fontId="1" fillId="20" borderId="0" xfId="0" applyFont="1" applyFill="1" applyAlignment="1">
      <alignment/>
    </xf>
    <xf numFmtId="0" fontId="1" fillId="20" borderId="0" xfId="0" applyFont="1" applyFill="1" applyAlignment="1">
      <alignment horizontal="center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horizontal="right"/>
    </xf>
    <xf numFmtId="0" fontId="2" fillId="20" borderId="0" xfId="0" applyFont="1" applyFill="1" applyAlignment="1">
      <alignment horizontal="center"/>
    </xf>
    <xf numFmtId="0" fontId="0" fillId="20" borderId="0" xfId="0" applyFill="1" applyAlignment="1">
      <alignment/>
    </xf>
    <xf numFmtId="0" fontId="1" fillId="20" borderId="0" xfId="0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Continuous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vertical="center"/>
    </xf>
    <xf numFmtId="0" fontId="8" fillId="20" borderId="0" xfId="0" applyFont="1" applyFill="1" applyAlignment="1">
      <alignment horizontal="right"/>
    </xf>
    <xf numFmtId="0" fontId="3" fillId="20" borderId="0" xfId="0" applyFont="1" applyFill="1" applyAlignment="1">
      <alignment horizontal="center"/>
    </xf>
    <xf numFmtId="0" fontId="3" fillId="20" borderId="0" xfId="0" applyFont="1" applyFill="1" applyAlignment="1">
      <alignment/>
    </xf>
    <xf numFmtId="0" fontId="4" fillId="20" borderId="0" xfId="0" applyFont="1" applyFill="1" applyBorder="1" applyAlignment="1" applyProtection="1">
      <alignment horizontal="center" vertical="center"/>
      <protection/>
    </xf>
    <xf numFmtId="1" fontId="4" fillId="20" borderId="0" xfId="0" applyNumberFormat="1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vertical="center"/>
      <protection/>
    </xf>
    <xf numFmtId="0" fontId="4" fillId="20" borderId="0" xfId="0" applyFont="1" applyFill="1" applyBorder="1" applyAlignment="1" applyProtection="1">
      <alignment horizontal="left" vertical="center"/>
      <protection/>
    </xf>
    <xf numFmtId="0" fontId="5" fillId="20" borderId="0" xfId="0" applyFont="1" applyFill="1" applyBorder="1" applyAlignment="1" applyProtection="1">
      <alignment horizontal="center" vertical="center"/>
      <protection/>
    </xf>
    <xf numFmtId="45" fontId="2" fillId="20" borderId="0" xfId="0" applyNumberFormat="1" applyFont="1" applyFill="1" applyBorder="1" applyAlignment="1" applyProtection="1">
      <alignment horizontal="center" vertical="center"/>
      <protection/>
    </xf>
    <xf numFmtId="172" fontId="2" fillId="20" borderId="0" xfId="0" applyNumberFormat="1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1" fillId="20" borderId="0" xfId="0" applyFont="1" applyFill="1" applyAlignment="1" applyProtection="1">
      <alignment horizontal="center"/>
      <protection/>
    </xf>
    <xf numFmtId="1" fontId="1" fillId="20" borderId="0" xfId="0" applyNumberFormat="1" applyFont="1" applyFill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2" fontId="2" fillId="20" borderId="0" xfId="0" applyNumberFormat="1" applyFont="1" applyFill="1" applyAlignment="1" applyProtection="1">
      <alignment horizontal="center"/>
      <protection/>
    </xf>
    <xf numFmtId="0" fontId="2" fillId="20" borderId="0" xfId="0" applyFont="1" applyFill="1" applyAlignment="1" applyProtection="1">
      <alignment horizontal="center"/>
      <protection/>
    </xf>
    <xf numFmtId="2" fontId="2" fillId="20" borderId="0" xfId="0" applyNumberFormat="1" applyFont="1" applyFill="1" applyAlignment="1" applyProtection="1">
      <alignment/>
      <protection/>
    </xf>
    <xf numFmtId="0" fontId="4" fillId="24" borderId="13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1" fontId="6" fillId="24" borderId="14" xfId="0" applyNumberFormat="1" applyFont="1" applyFill="1" applyBorder="1" applyAlignment="1" applyProtection="1">
      <alignment horizontal="center" vertical="center"/>
      <protection/>
    </xf>
    <xf numFmtId="21" fontId="1" fillId="24" borderId="14" xfId="0" applyNumberFormat="1" applyFont="1" applyFill="1" applyBorder="1" applyAlignment="1" applyProtection="1">
      <alignment horizontal="center" vertical="center"/>
      <protection/>
    </xf>
    <xf numFmtId="1" fontId="1" fillId="24" borderId="14" xfId="0" applyNumberFormat="1" applyFont="1" applyFill="1" applyBorder="1" applyAlignment="1" applyProtection="1">
      <alignment horizontal="center" vertical="center"/>
      <protection/>
    </xf>
    <xf numFmtId="2" fontId="4" fillId="24" borderId="24" xfId="0" applyNumberFormat="1" applyFont="1" applyFill="1" applyBorder="1" applyAlignment="1" applyProtection="1">
      <alignment horizontal="right" vertical="center"/>
      <protection/>
    </xf>
    <xf numFmtId="0" fontId="4" fillId="24" borderId="12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2" fontId="5" fillId="24" borderId="14" xfId="0" applyNumberFormat="1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vertical="center"/>
      <protection locked="0"/>
    </xf>
    <xf numFmtId="45" fontId="2" fillId="24" borderId="20" xfId="0" applyNumberFormat="1" applyFont="1" applyFill="1" applyBorder="1" applyAlignment="1" applyProtection="1">
      <alignment horizontal="center" vertical="center"/>
      <protection locked="0"/>
    </xf>
    <xf numFmtId="0" fontId="4" fillId="24" borderId="14" xfId="0" applyFont="1" applyFill="1" applyBorder="1" applyAlignment="1" applyProtection="1">
      <alignment horizontal="left" vertical="center"/>
      <protection/>
    </xf>
    <xf numFmtId="0" fontId="4" fillId="20" borderId="0" xfId="0" applyFont="1" applyFill="1" applyAlignment="1" applyProtection="1">
      <alignment horizontal="left" vertical="center"/>
      <protection/>
    </xf>
    <xf numFmtId="0" fontId="5" fillId="20" borderId="0" xfId="0" applyFont="1" applyFill="1" applyAlignment="1" applyProtection="1">
      <alignment vertical="center"/>
      <protection/>
    </xf>
    <xf numFmtId="2" fontId="5" fillId="20" borderId="0" xfId="0" applyNumberFormat="1" applyFont="1" applyFill="1" applyAlignment="1" applyProtection="1">
      <alignment vertical="center"/>
      <protection/>
    </xf>
    <xf numFmtId="0" fontId="5" fillId="20" borderId="0" xfId="0" applyFont="1" applyFill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horizontal="left" vertical="center"/>
      <protection/>
    </xf>
    <xf numFmtId="0" fontId="4" fillId="20" borderId="0" xfId="0" applyFont="1" applyFill="1" applyAlignment="1" applyProtection="1">
      <alignment horizontal="center" vertical="center"/>
      <protection/>
    </xf>
    <xf numFmtId="1" fontId="4" fillId="20" borderId="0" xfId="0" applyNumberFormat="1" applyFont="1" applyFill="1" applyAlignment="1" applyProtection="1">
      <alignment horizontal="center" vertical="center"/>
      <protection/>
    </xf>
    <xf numFmtId="2" fontId="5" fillId="20" borderId="0" xfId="0" applyNumberFormat="1" applyFont="1" applyFill="1" applyAlignment="1" applyProtection="1">
      <alignment horizontal="center" vertical="center"/>
      <protection/>
    </xf>
    <xf numFmtId="0" fontId="9" fillId="24" borderId="19" xfId="0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>
      <alignment horizontal="left" vertical="center"/>
    </xf>
    <xf numFmtId="0" fontId="2" fillId="24" borderId="25" xfId="0" applyNumberFormat="1" applyFont="1" applyFill="1" applyBorder="1" applyAlignment="1">
      <alignment horizontal="left" vertical="center"/>
    </xf>
    <xf numFmtId="45" fontId="2" fillId="24" borderId="20" xfId="0" applyNumberFormat="1" applyFont="1" applyFill="1" applyBorder="1" applyAlignment="1">
      <alignment horizontal="center" vertical="center"/>
    </xf>
    <xf numFmtId="21" fontId="2" fillId="24" borderId="21" xfId="0" applyNumberFormat="1" applyFont="1" applyFill="1" applyBorder="1" applyAlignment="1">
      <alignment horizontal="center" vertical="center"/>
    </xf>
    <xf numFmtId="0" fontId="0" fillId="20" borderId="0" xfId="0" applyNumberFormat="1" applyFill="1" applyAlignment="1">
      <alignment horizontal="left"/>
    </xf>
    <xf numFmtId="0" fontId="4" fillId="24" borderId="13" xfId="0" applyFont="1" applyFill="1" applyBorder="1" applyAlignment="1">
      <alignment horizontal="left" vertical="center"/>
    </xf>
    <xf numFmtId="0" fontId="4" fillId="24" borderId="18" xfId="0" applyNumberFormat="1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Continuous" vertical="center"/>
    </xf>
    <xf numFmtId="0" fontId="4" fillId="24" borderId="24" xfId="0" applyFont="1" applyFill="1" applyBorder="1" applyAlignment="1">
      <alignment horizontal="centerContinuous" vertical="center"/>
    </xf>
    <xf numFmtId="0" fontId="0" fillId="24" borderId="12" xfId="0" applyFill="1" applyBorder="1" applyAlignment="1">
      <alignment horizontal="centerContinuous"/>
    </xf>
    <xf numFmtId="0" fontId="0" fillId="24" borderId="26" xfId="0" applyNumberFormat="1" applyFill="1" applyBorder="1" applyAlignment="1">
      <alignment horizontal="center"/>
    </xf>
    <xf numFmtId="172" fontId="0" fillId="24" borderId="27" xfId="0" applyNumberFormat="1" applyFill="1" applyBorder="1" applyAlignment="1">
      <alignment horizontal="center"/>
    </xf>
    <xf numFmtId="0" fontId="4" fillId="20" borderId="0" xfId="0" applyFont="1" applyFill="1" applyAlignment="1">
      <alignment/>
    </xf>
    <xf numFmtId="0" fontId="4" fillId="20" borderId="0" xfId="0" applyNumberFormat="1" applyFont="1" applyFill="1" applyAlignment="1">
      <alignment horizontal="left"/>
    </xf>
    <xf numFmtId="0" fontId="4" fillId="24" borderId="25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 vertical="center"/>
    </xf>
    <xf numFmtId="0" fontId="13" fillId="20" borderId="0" xfId="0" applyNumberFormat="1" applyFont="1" applyFill="1" applyAlignment="1">
      <alignment horizontal="left"/>
    </xf>
    <xf numFmtId="0" fontId="13" fillId="20" borderId="0" xfId="0" applyFont="1" applyFill="1" applyAlignment="1">
      <alignment/>
    </xf>
    <xf numFmtId="0" fontId="13" fillId="20" borderId="0" xfId="0" applyFont="1" applyFill="1" applyAlignment="1">
      <alignment horizontal="center"/>
    </xf>
    <xf numFmtId="0" fontId="11" fillId="20" borderId="0" xfId="0" applyNumberFormat="1" applyFont="1" applyFill="1" applyAlignment="1">
      <alignment horizontal="left"/>
    </xf>
    <xf numFmtId="0" fontId="11" fillId="20" borderId="0" xfId="0" applyFont="1" applyFill="1" applyAlignment="1">
      <alignment horizontal="left"/>
    </xf>
    <xf numFmtId="172" fontId="11" fillId="20" borderId="0" xfId="0" applyNumberFormat="1" applyFont="1" applyFill="1" applyAlignment="1">
      <alignment horizontal="center"/>
    </xf>
    <xf numFmtId="0" fontId="10" fillId="24" borderId="14" xfId="0" applyFont="1" applyFill="1" applyBorder="1" applyAlignment="1" applyProtection="1">
      <alignment horizontal="center" vertical="center"/>
      <protection/>
    </xf>
    <xf numFmtId="2" fontId="10" fillId="24" borderId="24" xfId="0" applyNumberFormat="1" applyFont="1" applyFill="1" applyBorder="1" applyAlignment="1" applyProtection="1">
      <alignment horizontal="right" vertical="center"/>
      <protection/>
    </xf>
    <xf numFmtId="0" fontId="10" fillId="24" borderId="12" xfId="0" applyFont="1" applyFill="1" applyBorder="1" applyAlignment="1" applyProtection="1">
      <alignment horizontal="left" vertical="center"/>
      <protection/>
    </xf>
    <xf numFmtId="0" fontId="14" fillId="24" borderId="19" xfId="0" applyFont="1" applyFill="1" applyBorder="1" applyAlignment="1" applyProtection="1">
      <alignment horizontal="center" vertical="center"/>
      <protection/>
    </xf>
    <xf numFmtId="0" fontId="10" fillId="24" borderId="14" xfId="0" applyFont="1" applyFill="1" applyBorder="1" applyAlignment="1" applyProtection="1">
      <alignment vertical="center"/>
      <protection/>
    </xf>
    <xf numFmtId="2" fontId="8" fillId="24" borderId="14" xfId="0" applyNumberFormat="1" applyFont="1" applyFill="1" applyBorder="1" applyAlignment="1" applyProtection="1">
      <alignment horizontal="center" vertical="center"/>
      <protection/>
    </xf>
    <xf numFmtId="0" fontId="14" fillId="24" borderId="14" xfId="0" applyFont="1" applyFill="1" applyBorder="1" applyAlignment="1" applyProtection="1">
      <alignment horizontal="center" vertical="center"/>
      <protection/>
    </xf>
    <xf numFmtId="0" fontId="14" fillId="24" borderId="18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vertical="center"/>
      <protection locked="0"/>
    </xf>
    <xf numFmtId="45" fontId="8" fillId="24" borderId="20" xfId="0" applyNumberFormat="1" applyFont="1" applyFill="1" applyBorder="1" applyAlignment="1" applyProtection="1">
      <alignment horizontal="center" vertical="center"/>
      <protection locked="0"/>
    </xf>
    <xf numFmtId="172" fontId="8" fillId="22" borderId="20" xfId="0" applyNumberFormat="1" applyFont="1" applyFill="1" applyBorder="1" applyAlignment="1" applyProtection="1">
      <alignment horizontal="center" vertical="center"/>
      <protection/>
    </xf>
    <xf numFmtId="0" fontId="8" fillId="22" borderId="21" xfId="0" applyFont="1" applyFill="1" applyBorder="1" applyAlignment="1" applyProtection="1">
      <alignment horizontal="center" vertical="center"/>
      <protection/>
    </xf>
    <xf numFmtId="0" fontId="8" fillId="20" borderId="0" xfId="0" applyFont="1" applyFill="1" applyAlignment="1" applyProtection="1">
      <alignment/>
      <protection/>
    </xf>
    <xf numFmtId="2" fontId="8" fillId="20" borderId="0" xfId="0" applyNumberFormat="1" applyFont="1" applyFill="1" applyAlignment="1" applyProtection="1">
      <alignment horizontal="center"/>
      <protection/>
    </xf>
    <xf numFmtId="0" fontId="8" fillId="20" borderId="0" xfId="0" applyFont="1" applyFill="1" applyAlignment="1" applyProtection="1">
      <alignment horizontal="center"/>
      <protection/>
    </xf>
    <xf numFmtId="2" fontId="8" fillId="20" borderId="0" xfId="0" applyNumberFormat="1" applyFont="1" applyFill="1" applyAlignment="1" applyProtection="1">
      <alignment/>
      <protection/>
    </xf>
    <xf numFmtId="45" fontId="8" fillId="2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16" fillId="20" borderId="0" xfId="0" applyFont="1" applyFill="1" applyAlignment="1">
      <alignment vertical="center"/>
    </xf>
    <xf numFmtId="0" fontId="17" fillId="20" borderId="0" xfId="0" applyFont="1" applyFill="1" applyAlignment="1">
      <alignment horizontal="center" vertical="center"/>
    </xf>
    <xf numFmtId="0" fontId="1" fillId="24" borderId="13" xfId="0" applyFont="1" applyFill="1" applyBorder="1" applyAlignment="1" applyProtection="1">
      <alignment horizontal="left" vertical="center"/>
      <protection/>
    </xf>
    <xf numFmtId="45" fontId="2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>
      <alignment horizontal="centerContinuous"/>
    </xf>
    <xf numFmtId="0" fontId="15" fillId="2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9"/>
          <c:w val="0.7737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Stage'!$AY$9</c:f>
              <c:strCache>
                <c:ptCount val="1"/>
                <c:pt idx="0">
                  <c:v>Status Quo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Stage'!$AZ$9:$BM$9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Stage'!$AY$10</c:f>
              <c:strCache>
                <c:ptCount val="1"/>
                <c:pt idx="0">
                  <c:v>Monumental Selection Error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Stage'!$AZ$10:$BM$10</c:f>
              <c:numCache>
                <c:ptCount val="14"/>
                <c:pt idx="0">
                  <c:v>0.00048611111111111077</c:v>
                </c:pt>
                <c:pt idx="1">
                  <c:v>0.00013888888888888978</c:v>
                </c:pt>
                <c:pt idx="2">
                  <c:v>0.0007060185185185155</c:v>
                </c:pt>
                <c:pt idx="3">
                  <c:v>0.0006250000000000006</c:v>
                </c:pt>
                <c:pt idx="4">
                  <c:v>0.0014814814814814795</c:v>
                </c:pt>
                <c:pt idx="5">
                  <c:v>0.0014814814814814864</c:v>
                </c:pt>
                <c:pt idx="6">
                  <c:v>0.001678240740740758</c:v>
                </c:pt>
                <c:pt idx="7">
                  <c:v>0.0018518518518518684</c:v>
                </c:pt>
                <c:pt idx="8">
                  <c:v>0.0023611111111111333</c:v>
                </c:pt>
                <c:pt idx="9">
                  <c:v>0.002152777777777795</c:v>
                </c:pt>
                <c:pt idx="10">
                  <c:v>0.0022453703703703976</c:v>
                </c:pt>
                <c:pt idx="11">
                  <c:v>0.003379629629629649</c:v>
                </c:pt>
                <c:pt idx="12">
                  <c:v>0.0032291666666666996</c:v>
                </c:pt>
                <c:pt idx="13">
                  <c:v>0.0037384259259259645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Stage'!$AY$11</c:f>
              <c:strCache>
                <c:ptCount val="1"/>
                <c:pt idx="0">
                  <c:v>Where's Our Captain?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Stage'!$AZ$11:$BM$11</c:f>
              <c:numCache>
                <c:ptCount val="14"/>
                <c:pt idx="0">
                  <c:v>0.0005902777777777764</c:v>
                </c:pt>
                <c:pt idx="1">
                  <c:v>0.0008912037037037066</c:v>
                </c:pt>
                <c:pt idx="2">
                  <c:v>0.0014814814814814864</c:v>
                </c:pt>
                <c:pt idx="3">
                  <c:v>0.0009722222222222285</c:v>
                </c:pt>
                <c:pt idx="4">
                  <c:v>0.0019328703703703765</c:v>
                </c:pt>
                <c:pt idx="5">
                  <c:v>0.002152777777777795</c:v>
                </c:pt>
                <c:pt idx="6">
                  <c:v>0.0025694444444444714</c:v>
                </c:pt>
                <c:pt idx="7">
                  <c:v>0.003321759259259288</c:v>
                </c:pt>
                <c:pt idx="8">
                  <c:v>0.004930555555555591</c:v>
                </c:pt>
                <c:pt idx="9">
                  <c:v>0.0035995370370370677</c:v>
                </c:pt>
                <c:pt idx="10">
                  <c:v>0.0043287037037037235</c:v>
                </c:pt>
                <c:pt idx="11">
                  <c:v>0.005497685185185203</c:v>
                </c:pt>
                <c:pt idx="12">
                  <c:v>0.005335648148148159</c:v>
                </c:pt>
                <c:pt idx="13">
                  <c:v>0.005300925925925931</c:v>
                </c:pt>
              </c:numCache>
            </c:numRef>
          </c:val>
          <c:smooth val="0"/>
        </c:ser>
        <c:marker val="1"/>
        <c:axId val="28541852"/>
        <c:axId val="55550077"/>
      </c:lineChart>
      <c:catAx>
        <c:axId val="2854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0077"/>
        <c:crosses val="autoZero"/>
        <c:auto val="1"/>
        <c:lblOffset val="100"/>
        <c:tickLblSkip val="1"/>
        <c:noMultiLvlLbl val="0"/>
      </c:catAx>
      <c:valAx>
        <c:axId val="5555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crossAx val="28541852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6"/>
          <c:w val="0.1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581650"/>
    <xdr:graphicFrame>
      <xdr:nvGraphicFramePr>
        <xdr:cNvPr id="1" name="Chart 1"/>
        <xdr:cNvGraphicFramePr/>
      </xdr:nvGraphicFramePr>
      <xdr:xfrm>
        <a:off x="0" y="0"/>
        <a:ext cx="9305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zoomScale="125" zoomScaleNormal="125" zoomScalePageLayoutView="0" workbookViewId="0" topLeftCell="A1">
      <selection activeCell="B3" sqref="B3:B5"/>
    </sheetView>
  </sheetViews>
  <sheetFormatPr defaultColWidth="9.140625" defaultRowHeight="12.75"/>
  <cols>
    <col min="1" max="1" width="3.421875" style="133" customWidth="1"/>
    <col min="2" max="2" width="29.8515625" style="134" customWidth="1"/>
    <col min="3" max="3" width="4.7109375" style="134" customWidth="1"/>
    <col min="4" max="4" width="20.7109375" style="133" customWidth="1"/>
    <col min="5" max="5" width="4.7109375" style="134" customWidth="1"/>
    <col min="6" max="6" width="20.7109375" style="133" customWidth="1"/>
    <col min="7" max="7" width="4.7109375" style="134" customWidth="1"/>
    <col min="8" max="8" width="20.7109375" style="133" customWidth="1"/>
    <col min="9" max="9" width="4.7109375" style="134" customWidth="1"/>
    <col min="10" max="10" width="20.7109375" style="133" customWidth="1"/>
    <col min="11" max="11" width="17.421875" style="133" customWidth="1"/>
    <col min="12" max="35" width="9.140625" style="133" customWidth="1"/>
    <col min="36" max="16384" width="9.140625" style="135" customWidth="1"/>
  </cols>
  <sheetData>
    <row r="1" spans="1:35" s="136" customFormat="1" ht="12.75">
      <c r="A1" s="31"/>
      <c r="B1" s="32"/>
      <c r="C1" s="32"/>
      <c r="D1" s="31"/>
      <c r="E1" s="32"/>
      <c r="F1" s="31"/>
      <c r="G1" s="32"/>
      <c r="H1" s="31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s="137" customFormat="1" ht="19.5" customHeight="1">
      <c r="A2" s="37"/>
      <c r="B2" s="39" t="s">
        <v>44</v>
      </c>
      <c r="C2" s="40" t="s">
        <v>4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152" t="s">
        <v>56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138" customFormat="1" ht="18.75" customHeight="1">
      <c r="A3" s="38"/>
      <c r="B3" s="154" t="s">
        <v>75</v>
      </c>
      <c r="C3" s="150">
        <v>1</v>
      </c>
      <c r="D3" s="42" t="str">
        <f>VLOOKUP(C3,$I$8:$J$35,2,FALSE)</f>
        <v>Andrew Coles</v>
      </c>
      <c r="E3" s="41">
        <v>6</v>
      </c>
      <c r="F3" s="42" t="str">
        <f>VLOOKUP(E3,$I$8:$J$35,2,FALSE)</f>
        <v>Katie Seibold</v>
      </c>
      <c r="G3" s="41">
        <v>8</v>
      </c>
      <c r="H3" s="42" t="str">
        <f>VLOOKUP(G3,$I$8:$J$35,2,FALSE)</f>
        <v>Tony Hally</v>
      </c>
      <c r="I3" s="41">
        <v>12</v>
      </c>
      <c r="J3" s="151" t="str">
        <f>VLOOKUP(I3,$I$8:$J$35,2,FALSE)</f>
        <v>Dale Nardella</v>
      </c>
      <c r="K3" s="153">
        <f>+C3+E3+G3+I3</f>
        <v>27</v>
      </c>
      <c r="L3" s="3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s="138" customFormat="1" ht="18.75" customHeight="1">
      <c r="A4" s="38"/>
      <c r="B4" s="154" t="s">
        <v>74</v>
      </c>
      <c r="C4" s="150">
        <v>2</v>
      </c>
      <c r="D4" s="42" t="str">
        <f>VLOOKUP(C4,$I$8:$J$35,2,FALSE)</f>
        <v>Stephen Paine</v>
      </c>
      <c r="E4" s="41">
        <v>5</v>
      </c>
      <c r="F4" s="42" t="str">
        <f>VLOOKUP(E4,$I$8:$J$35,2,FALSE)</f>
        <v>Norval Hope</v>
      </c>
      <c r="G4" s="41">
        <v>7</v>
      </c>
      <c r="H4" s="42" t="str">
        <f>VLOOKUP(G4,$I$8:$J$35,2,FALSE)</f>
        <v>Thai Phan</v>
      </c>
      <c r="I4" s="41">
        <v>10</v>
      </c>
      <c r="J4" s="151" t="str">
        <f>VLOOKUP(I4,$I$8:$J$35,2,FALSE)</f>
        <v>John Hand</v>
      </c>
      <c r="K4" s="153">
        <f>+C4+E4+G4+I4</f>
        <v>24</v>
      </c>
      <c r="L4" s="3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s="138" customFormat="1" ht="18.75" customHeight="1">
      <c r="A5" s="38"/>
      <c r="B5" s="154" t="s">
        <v>73</v>
      </c>
      <c r="C5" s="150">
        <v>3</v>
      </c>
      <c r="D5" s="42" t="str">
        <f>VLOOKUP(C5,$I$8:$J$35,2,FALSE)</f>
        <v>David Venour</v>
      </c>
      <c r="E5" s="41">
        <v>4</v>
      </c>
      <c r="F5" s="42" t="str">
        <f>VLOOKUP(E5,$I$8:$J$35,2,FALSE)</f>
        <v>John Charles</v>
      </c>
      <c r="G5" s="41">
        <v>9</v>
      </c>
      <c r="H5" s="42" t="str">
        <f>VLOOKUP(G5,$I$8:$J$35,2,FALSE)</f>
        <v>Garth Calder</v>
      </c>
      <c r="I5" s="41">
        <v>11</v>
      </c>
      <c r="J5" s="151" t="str">
        <f>VLOOKUP(I5,$I$8:$J$35,2,FALSE)</f>
        <v>Rory Heddles</v>
      </c>
      <c r="K5" s="153">
        <f>+C5+E5+G5+I5</f>
        <v>27</v>
      </c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ht="12.75">
      <c r="A6" s="33"/>
      <c r="B6" s="43"/>
      <c r="C6" s="33"/>
      <c r="D6" s="33"/>
      <c r="E6" s="35"/>
      <c r="F6" s="33"/>
      <c r="G6" s="35"/>
      <c r="H6" s="33"/>
      <c r="I6" s="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2.75">
      <c r="A7" s="33"/>
      <c r="B7" s="43"/>
      <c r="C7" s="33"/>
      <c r="D7" s="33"/>
      <c r="E7" s="35"/>
      <c r="F7" s="33"/>
      <c r="G7" s="35"/>
      <c r="H7" s="33"/>
      <c r="I7" s="157" t="s">
        <v>55</v>
      </c>
      <c r="J7" s="157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2.75">
      <c r="A8" s="33"/>
      <c r="B8" s="43"/>
      <c r="C8" s="33"/>
      <c r="D8" s="33"/>
      <c r="E8" s="35"/>
      <c r="F8" s="33"/>
      <c r="G8" s="35"/>
      <c r="H8" s="33"/>
      <c r="I8" s="44">
        <v>1</v>
      </c>
      <c r="J8" s="45" t="s">
        <v>65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2.75">
      <c r="A9" s="33"/>
      <c r="B9" s="43"/>
      <c r="C9" s="33"/>
      <c r="D9" s="33"/>
      <c r="E9" s="35"/>
      <c r="F9" s="33"/>
      <c r="G9" s="35"/>
      <c r="H9" s="33"/>
      <c r="I9" s="44">
        <v>2</v>
      </c>
      <c r="J9" s="45" t="s">
        <v>59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2.75">
      <c r="A10" s="33"/>
      <c r="B10" s="43"/>
      <c r="C10" s="33"/>
      <c r="D10" s="33"/>
      <c r="E10" s="35"/>
      <c r="F10" s="33"/>
      <c r="G10" s="35"/>
      <c r="H10" s="33"/>
      <c r="I10" s="44">
        <v>3</v>
      </c>
      <c r="J10" s="45" t="s">
        <v>66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12.75">
      <c r="A11" s="33"/>
      <c r="B11" s="43"/>
      <c r="C11" s="33"/>
      <c r="D11" s="33"/>
      <c r="E11" s="35"/>
      <c r="F11" s="33"/>
      <c r="G11" s="35"/>
      <c r="H11" s="33"/>
      <c r="I11" s="44">
        <v>4</v>
      </c>
      <c r="J11" s="45" t="s">
        <v>67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2.75">
      <c r="A12" s="33"/>
      <c r="B12" s="43"/>
      <c r="C12" s="33"/>
      <c r="D12" s="33"/>
      <c r="E12" s="35"/>
      <c r="F12" s="33"/>
      <c r="G12" s="35"/>
      <c r="H12" s="33"/>
      <c r="I12" s="44">
        <v>5</v>
      </c>
      <c r="J12" s="45" t="s">
        <v>68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2.75">
      <c r="A13" s="33"/>
      <c r="B13" s="43"/>
      <c r="C13" s="33"/>
      <c r="D13" s="33"/>
      <c r="E13" s="35"/>
      <c r="F13" s="33"/>
      <c r="G13" s="35"/>
      <c r="H13" s="33"/>
      <c r="I13" s="44">
        <v>6</v>
      </c>
      <c r="J13" s="45" t="s">
        <v>69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2.75">
      <c r="A14" s="33"/>
      <c r="B14" s="43"/>
      <c r="C14" s="33"/>
      <c r="D14" s="33"/>
      <c r="E14" s="35"/>
      <c r="F14" s="33"/>
      <c r="G14" s="35"/>
      <c r="H14" s="33"/>
      <c r="I14" s="44">
        <v>7</v>
      </c>
      <c r="J14" s="45" t="s">
        <v>63</v>
      </c>
      <c r="K14" s="4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2.75">
      <c r="A15" s="33"/>
      <c r="B15" s="43"/>
      <c r="C15" s="33"/>
      <c r="D15" s="33"/>
      <c r="E15" s="35"/>
      <c r="F15" s="33"/>
      <c r="G15" s="35"/>
      <c r="H15" s="33"/>
      <c r="I15" s="44">
        <v>8</v>
      </c>
      <c r="J15" s="45" t="s">
        <v>70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2.75">
      <c r="A16" s="33"/>
      <c r="B16" s="43"/>
      <c r="C16" s="33"/>
      <c r="D16" s="33"/>
      <c r="E16" s="35"/>
      <c r="F16" s="33"/>
      <c r="G16" s="35"/>
      <c r="H16" s="33"/>
      <c r="I16" s="44">
        <v>9</v>
      </c>
      <c r="J16" s="45" t="s">
        <v>71</v>
      </c>
      <c r="K16" s="45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2.75">
      <c r="A17" s="33"/>
      <c r="B17" s="43"/>
      <c r="C17" s="33"/>
      <c r="D17" s="33"/>
      <c r="E17" s="35"/>
      <c r="F17" s="33"/>
      <c r="G17" s="35"/>
      <c r="H17" s="33"/>
      <c r="I17" s="44">
        <v>10</v>
      </c>
      <c r="J17" s="45" t="s">
        <v>72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12.75">
      <c r="A18" s="33"/>
      <c r="B18" s="43"/>
      <c r="C18" s="33"/>
      <c r="D18" s="33"/>
      <c r="E18" s="35"/>
      <c r="F18" s="33"/>
      <c r="G18" s="35"/>
      <c r="H18" s="33"/>
      <c r="I18" s="44">
        <v>11</v>
      </c>
      <c r="J18" s="45" t="s">
        <v>62</v>
      </c>
      <c r="K18" s="45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2.75">
      <c r="A19" s="33"/>
      <c r="B19" s="43"/>
      <c r="C19" s="33"/>
      <c r="D19" s="33"/>
      <c r="E19" s="35"/>
      <c r="F19" s="33"/>
      <c r="G19" s="35"/>
      <c r="H19" s="33"/>
      <c r="I19" s="44">
        <v>12</v>
      </c>
      <c r="J19" s="45" t="s">
        <v>64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2.75">
      <c r="A20" s="33"/>
      <c r="B20" s="34"/>
      <c r="C20" s="35"/>
      <c r="D20" s="33"/>
      <c r="E20" s="35"/>
      <c r="F20" s="33"/>
      <c r="G20" s="35"/>
      <c r="H20" s="33"/>
      <c r="I20" s="44"/>
      <c r="J20" s="45"/>
      <c r="K20" s="45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2.75">
      <c r="A21" s="33"/>
      <c r="B21" s="34"/>
      <c r="C21" s="35"/>
      <c r="D21" s="33"/>
      <c r="E21" s="35"/>
      <c r="F21" s="33"/>
      <c r="G21" s="35"/>
      <c r="H21" s="33"/>
      <c r="I21" s="44"/>
      <c r="J21" s="45"/>
      <c r="K21" s="4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2.75">
      <c r="A22" s="33"/>
      <c r="B22" s="34"/>
      <c r="C22" s="35"/>
      <c r="D22" s="33"/>
      <c r="E22" s="35"/>
      <c r="F22" s="33"/>
      <c r="G22" s="35"/>
      <c r="H22" s="33"/>
      <c r="I22" s="44"/>
      <c r="J22" s="4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2.75">
      <c r="A23" s="33"/>
      <c r="B23" s="35"/>
      <c r="C23" s="35"/>
      <c r="D23" s="33"/>
      <c r="E23" s="35"/>
      <c r="F23" s="33"/>
      <c r="G23" s="35"/>
      <c r="H23" s="33"/>
      <c r="I23" s="44"/>
      <c r="J23" s="45"/>
      <c r="K23" s="4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2.75">
      <c r="A24" s="33"/>
      <c r="B24" s="35"/>
      <c r="C24" s="35"/>
      <c r="D24" s="33"/>
      <c r="E24" s="35"/>
      <c r="F24" s="33"/>
      <c r="G24" s="35"/>
      <c r="H24" s="33"/>
      <c r="I24" s="44"/>
      <c r="J24" s="4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12.75">
      <c r="A25" s="33"/>
      <c r="B25" s="35"/>
      <c r="C25" s="35"/>
      <c r="D25" s="33"/>
      <c r="E25" s="35"/>
      <c r="F25" s="33"/>
      <c r="G25" s="35"/>
      <c r="H25" s="33"/>
      <c r="I25" s="44"/>
      <c r="J25" s="4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2.75">
      <c r="A26" s="33"/>
      <c r="B26" s="35"/>
      <c r="C26" s="35"/>
      <c r="D26" s="33"/>
      <c r="E26" s="35"/>
      <c r="F26" s="33"/>
      <c r="G26" s="35"/>
      <c r="H26" s="33"/>
      <c r="I26" s="44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2.75">
      <c r="A27" s="33"/>
      <c r="B27" s="35"/>
      <c r="C27" s="35"/>
      <c r="D27" s="36"/>
      <c r="E27" s="35"/>
      <c r="F27" s="36"/>
      <c r="G27" s="35"/>
      <c r="H27" s="33"/>
      <c r="I27" s="44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2.75">
      <c r="A28" s="33"/>
      <c r="B28" s="35"/>
      <c r="C28" s="35"/>
      <c r="D28" s="36"/>
      <c r="E28" s="35"/>
      <c r="F28" s="36"/>
      <c r="G28" s="35"/>
      <c r="H28" s="33"/>
      <c r="I28" s="44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2.75">
      <c r="A29" s="33"/>
      <c r="B29" s="35"/>
      <c r="C29" s="35"/>
      <c r="D29" s="36"/>
      <c r="E29" s="35"/>
      <c r="F29" s="36"/>
      <c r="G29" s="35"/>
      <c r="H29" s="33"/>
      <c r="I29" s="44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2.75">
      <c r="A30" s="33"/>
      <c r="B30" s="35"/>
      <c r="C30" s="35"/>
      <c r="D30" s="36"/>
      <c r="E30" s="35"/>
      <c r="F30" s="36"/>
      <c r="G30" s="35"/>
      <c r="H30" s="33"/>
      <c r="I30" s="44"/>
      <c r="J30" s="4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2.75">
      <c r="A31" s="33"/>
      <c r="B31" s="35"/>
      <c r="C31" s="35"/>
      <c r="D31" s="36"/>
      <c r="E31" s="35"/>
      <c r="F31" s="36"/>
      <c r="G31" s="35"/>
      <c r="H31" s="33"/>
      <c r="I31" s="44"/>
      <c r="J31" s="45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12.75">
      <c r="A32" s="33"/>
      <c r="B32" s="35"/>
      <c r="C32" s="35"/>
      <c r="D32" s="36"/>
      <c r="E32" s="35"/>
      <c r="F32" s="36"/>
      <c r="G32" s="35"/>
      <c r="H32" s="33"/>
      <c r="I32" s="44"/>
      <c r="J32" s="4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12.75">
      <c r="A33" s="33"/>
      <c r="B33" s="35"/>
      <c r="C33" s="35"/>
      <c r="D33" s="33"/>
      <c r="E33" s="35"/>
      <c r="F33" s="33"/>
      <c r="G33" s="35"/>
      <c r="H33" s="33"/>
      <c r="I33" s="44"/>
      <c r="J33" s="4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2.75">
      <c r="A34" s="33"/>
      <c r="B34" s="35"/>
      <c r="C34" s="35"/>
      <c r="D34" s="33"/>
      <c r="E34" s="35"/>
      <c r="F34" s="33"/>
      <c r="G34" s="35"/>
      <c r="H34" s="33"/>
      <c r="I34" s="44"/>
      <c r="J34" s="4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2.75">
      <c r="A35" s="33"/>
      <c r="B35" s="35"/>
      <c r="C35" s="35"/>
      <c r="D35" s="33"/>
      <c r="E35" s="35"/>
      <c r="F35" s="33"/>
      <c r="G35" s="35"/>
      <c r="H35" s="33"/>
      <c r="I35" s="44"/>
      <c r="J35" s="4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12.75">
      <c r="A36" s="33"/>
      <c r="B36" s="35"/>
      <c r="C36" s="35"/>
      <c r="D36" s="33"/>
      <c r="E36" s="35"/>
      <c r="F36" s="33"/>
      <c r="G36" s="35"/>
      <c r="H36" s="33"/>
      <c r="I36" s="35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2.75">
      <c r="A37" s="33"/>
      <c r="B37" s="35"/>
      <c r="C37" s="35"/>
      <c r="D37" s="33"/>
      <c r="E37" s="35"/>
      <c r="F37" s="33"/>
      <c r="G37" s="35"/>
      <c r="H37" s="33"/>
      <c r="I37" s="35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2.75">
      <c r="A38" s="33"/>
      <c r="B38" s="35"/>
      <c r="C38" s="35"/>
      <c r="D38" s="33"/>
      <c r="E38" s="35"/>
      <c r="F38" s="33"/>
      <c r="G38" s="35"/>
      <c r="H38" s="33"/>
      <c r="I38" s="35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2.75">
      <c r="A39" s="33"/>
      <c r="B39" s="35"/>
      <c r="C39" s="35"/>
      <c r="D39" s="33"/>
      <c r="E39" s="35"/>
      <c r="F39" s="33"/>
      <c r="G39" s="35"/>
      <c r="H39" s="33"/>
      <c r="I39" s="35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2.75">
      <c r="A40" s="33"/>
      <c r="B40" s="35"/>
      <c r="C40" s="35"/>
      <c r="D40" s="33"/>
      <c r="E40" s="35"/>
      <c r="F40" s="33"/>
      <c r="G40" s="35"/>
      <c r="H40" s="33"/>
      <c r="I40" s="35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2.75">
      <c r="A41" s="33"/>
      <c r="B41" s="35"/>
      <c r="C41" s="35"/>
      <c r="D41" s="33"/>
      <c r="E41" s="35"/>
      <c r="F41" s="33"/>
      <c r="G41" s="35"/>
      <c r="H41" s="33"/>
      <c r="I41" s="35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12.75">
      <c r="A42" s="33"/>
      <c r="B42" s="35"/>
      <c r="C42" s="35"/>
      <c r="D42" s="33"/>
      <c r="E42" s="35"/>
      <c r="F42" s="33"/>
      <c r="G42" s="35"/>
      <c r="H42" s="33"/>
      <c r="I42" s="35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12.75">
      <c r="A43" s="33"/>
      <c r="B43" s="35"/>
      <c r="C43" s="35"/>
      <c r="D43" s="33"/>
      <c r="E43" s="35"/>
      <c r="F43" s="33"/>
      <c r="G43" s="35"/>
      <c r="H43" s="33"/>
      <c r="I43" s="3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2.75">
      <c r="A44" s="33"/>
      <c r="B44" s="35"/>
      <c r="C44" s="35"/>
      <c r="D44" s="33"/>
      <c r="E44" s="35"/>
      <c r="F44" s="33"/>
      <c r="G44" s="35"/>
      <c r="H44" s="33"/>
      <c r="I44" s="35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2.75">
      <c r="A45" s="33"/>
      <c r="B45" s="35"/>
      <c r="C45" s="35"/>
      <c r="D45" s="33"/>
      <c r="E45" s="35"/>
      <c r="F45" s="33"/>
      <c r="G45" s="35"/>
      <c r="H45" s="33"/>
      <c r="I45" s="35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2.75">
      <c r="A46" s="33"/>
      <c r="B46" s="35"/>
      <c r="C46" s="35"/>
      <c r="D46" s="33"/>
      <c r="E46" s="35"/>
      <c r="F46" s="33"/>
      <c r="G46" s="35"/>
      <c r="H46" s="33"/>
      <c r="I46" s="35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2.75">
      <c r="A47" s="33"/>
      <c r="B47" s="35"/>
      <c r="C47" s="35"/>
      <c r="D47" s="33"/>
      <c r="E47" s="35"/>
      <c r="F47" s="33"/>
      <c r="G47" s="35"/>
      <c r="H47" s="33"/>
      <c r="I47" s="35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2.75">
      <c r="A48" s="33"/>
      <c r="B48" s="35"/>
      <c r="C48" s="35"/>
      <c r="D48" s="33"/>
      <c r="E48" s="35"/>
      <c r="F48" s="33"/>
      <c r="G48" s="35"/>
      <c r="H48" s="33"/>
      <c r="I48" s="35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2.75">
      <c r="A49" s="33"/>
      <c r="B49" s="35"/>
      <c r="C49" s="35"/>
      <c r="D49" s="33"/>
      <c r="E49" s="35"/>
      <c r="F49" s="33"/>
      <c r="G49" s="35"/>
      <c r="H49" s="33"/>
      <c r="I49" s="35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12.75">
      <c r="A50" s="33"/>
      <c r="B50" s="35"/>
      <c r="C50" s="35"/>
      <c r="D50" s="33"/>
      <c r="E50" s="35"/>
      <c r="F50" s="33"/>
      <c r="G50" s="35"/>
      <c r="H50" s="33"/>
      <c r="I50" s="35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2.75">
      <c r="A51" s="33"/>
      <c r="B51" s="35"/>
      <c r="C51" s="35"/>
      <c r="D51" s="33"/>
      <c r="E51" s="35"/>
      <c r="F51" s="33"/>
      <c r="G51" s="35"/>
      <c r="H51" s="33"/>
      <c r="I51" s="35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2.75">
      <c r="A52" s="33"/>
      <c r="B52" s="35"/>
      <c r="C52" s="35"/>
      <c r="D52" s="33"/>
      <c r="E52" s="35"/>
      <c r="F52" s="33"/>
      <c r="G52" s="35"/>
      <c r="H52" s="33"/>
      <c r="I52" s="35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12.75">
      <c r="A53" s="33"/>
      <c r="B53" s="35"/>
      <c r="C53" s="35"/>
      <c r="D53" s="33"/>
      <c r="E53" s="35"/>
      <c r="F53" s="33"/>
      <c r="G53" s="35"/>
      <c r="H53" s="33"/>
      <c r="I53" s="35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ht="12.75">
      <c r="A54" s="33"/>
      <c r="B54" s="35"/>
      <c r="C54" s="35"/>
      <c r="D54" s="33"/>
      <c r="E54" s="35"/>
      <c r="F54" s="33"/>
      <c r="G54" s="35"/>
      <c r="H54" s="33"/>
      <c r="I54" s="35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ht="12.75">
      <c r="A55" s="33"/>
      <c r="B55" s="35"/>
      <c r="C55" s="35"/>
      <c r="D55" s="33"/>
      <c r="E55" s="35"/>
      <c r="F55" s="33"/>
      <c r="G55" s="35"/>
      <c r="H55" s="33"/>
      <c r="I55" s="35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ht="12.75">
      <c r="A56" s="33"/>
      <c r="B56" s="35"/>
      <c r="C56" s="35"/>
      <c r="D56" s="33"/>
      <c r="E56" s="35"/>
      <c r="F56" s="33"/>
      <c r="G56" s="35"/>
      <c r="H56" s="33"/>
      <c r="I56" s="35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ht="12.75">
      <c r="A57" s="33"/>
      <c r="B57" s="35"/>
      <c r="C57" s="35"/>
      <c r="D57" s="33"/>
      <c r="E57" s="35"/>
      <c r="F57" s="33"/>
      <c r="G57" s="35"/>
      <c r="H57" s="33"/>
      <c r="I57" s="35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ht="12.75">
      <c r="A58" s="33"/>
      <c r="B58" s="35"/>
      <c r="C58" s="35"/>
      <c r="D58" s="33"/>
      <c r="E58" s="35"/>
      <c r="F58" s="33"/>
      <c r="G58" s="35"/>
      <c r="H58" s="33"/>
      <c r="I58" s="35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ht="12.75">
      <c r="A59" s="33"/>
      <c r="B59" s="35"/>
      <c r="C59" s="35"/>
      <c r="D59" s="33"/>
      <c r="E59" s="35"/>
      <c r="F59" s="33"/>
      <c r="G59" s="35"/>
      <c r="H59" s="33"/>
      <c r="I59" s="35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12.75">
      <c r="A60" s="33"/>
      <c r="B60" s="35"/>
      <c r="C60" s="35"/>
      <c r="D60" s="33"/>
      <c r="E60" s="35"/>
      <c r="F60" s="33"/>
      <c r="G60" s="35"/>
      <c r="H60" s="33"/>
      <c r="I60" s="35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ht="12.75">
      <c r="A61" s="33"/>
      <c r="B61" s="35"/>
      <c r="C61" s="35"/>
      <c r="D61" s="33"/>
      <c r="E61" s="35"/>
      <c r="F61" s="33"/>
      <c r="G61" s="35"/>
      <c r="H61" s="33"/>
      <c r="I61" s="35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ht="12.75">
      <c r="A62" s="33"/>
      <c r="B62" s="35"/>
      <c r="C62" s="35"/>
      <c r="D62" s="33"/>
      <c r="E62" s="35"/>
      <c r="F62" s="33"/>
      <c r="G62" s="35"/>
      <c r="H62" s="33"/>
      <c r="I62" s="35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2.75">
      <c r="A63" s="33"/>
      <c r="B63" s="35"/>
      <c r="C63" s="35"/>
      <c r="D63" s="33"/>
      <c r="E63" s="35"/>
      <c r="F63" s="33"/>
      <c r="G63" s="35"/>
      <c r="H63" s="33"/>
      <c r="I63" s="35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2.75">
      <c r="A64" s="33"/>
      <c r="B64" s="35"/>
      <c r="C64" s="35"/>
      <c r="D64" s="33"/>
      <c r="E64" s="35"/>
      <c r="F64" s="33"/>
      <c r="G64" s="35"/>
      <c r="H64" s="33"/>
      <c r="I64" s="35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ht="12.75">
      <c r="A65" s="33"/>
      <c r="B65" s="35"/>
      <c r="C65" s="35"/>
      <c r="D65" s="33"/>
      <c r="E65" s="35"/>
      <c r="F65" s="33"/>
      <c r="G65" s="35"/>
      <c r="H65" s="33"/>
      <c r="I65" s="35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ht="12.75">
      <c r="A66" s="33"/>
      <c r="B66" s="35"/>
      <c r="C66" s="35"/>
      <c r="D66" s="33"/>
      <c r="E66" s="35"/>
      <c r="F66" s="33"/>
      <c r="G66" s="35"/>
      <c r="H66" s="33"/>
      <c r="I66" s="35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ht="12.75">
      <c r="A67" s="33"/>
      <c r="B67" s="35"/>
      <c r="C67" s="35"/>
      <c r="D67" s="33"/>
      <c r="E67" s="35"/>
      <c r="F67" s="33"/>
      <c r="G67" s="35"/>
      <c r="H67" s="33"/>
      <c r="I67" s="35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12.75">
      <c r="A68" s="33"/>
      <c r="B68" s="35"/>
      <c r="C68" s="35"/>
      <c r="D68" s="33"/>
      <c r="E68" s="35"/>
      <c r="F68" s="33"/>
      <c r="G68" s="35"/>
      <c r="H68" s="33"/>
      <c r="I68" s="35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ht="12.75">
      <c r="A69" s="33"/>
      <c r="B69" s="35"/>
      <c r="C69" s="35"/>
      <c r="D69" s="33"/>
      <c r="E69" s="35"/>
      <c r="F69" s="33"/>
      <c r="G69" s="35"/>
      <c r="H69" s="33"/>
      <c r="I69" s="35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ht="12.75">
      <c r="A70" s="33"/>
      <c r="B70" s="35"/>
      <c r="C70" s="35"/>
      <c r="D70" s="33"/>
      <c r="E70" s="35"/>
      <c r="F70" s="33"/>
      <c r="G70" s="35"/>
      <c r="H70" s="33"/>
      <c r="I70" s="35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2.75">
      <c r="A71" s="33"/>
      <c r="B71" s="35"/>
      <c r="C71" s="35"/>
      <c r="D71" s="33"/>
      <c r="E71" s="35"/>
      <c r="F71" s="33"/>
      <c r="G71" s="35"/>
      <c r="H71" s="33"/>
      <c r="I71" s="35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2.75">
      <c r="A72" s="33"/>
      <c r="B72" s="35"/>
      <c r="C72" s="35"/>
      <c r="D72" s="33"/>
      <c r="E72" s="35"/>
      <c r="F72" s="33"/>
      <c r="G72" s="35"/>
      <c r="H72" s="33"/>
      <c r="I72" s="35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2.75">
      <c r="A73" s="33"/>
      <c r="B73" s="35"/>
      <c r="C73" s="35"/>
      <c r="D73" s="33"/>
      <c r="E73" s="35"/>
      <c r="F73" s="33"/>
      <c r="G73" s="35"/>
      <c r="H73" s="33"/>
      <c r="I73" s="35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2.75">
      <c r="A74" s="33"/>
      <c r="B74" s="35"/>
      <c r="C74" s="35"/>
      <c r="D74" s="33"/>
      <c r="E74" s="35"/>
      <c r="F74" s="33"/>
      <c r="G74" s="35"/>
      <c r="H74" s="33"/>
      <c r="I74" s="35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2.75">
      <c r="A75" s="33"/>
      <c r="B75" s="35"/>
      <c r="C75" s="35"/>
      <c r="D75" s="33"/>
      <c r="E75" s="35"/>
      <c r="F75" s="33"/>
      <c r="G75" s="35"/>
      <c r="H75" s="33"/>
      <c r="I75" s="35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2.75">
      <c r="A76" s="33"/>
      <c r="B76" s="35"/>
      <c r="C76" s="35"/>
      <c r="D76" s="33"/>
      <c r="E76" s="35"/>
      <c r="F76" s="33"/>
      <c r="G76" s="35"/>
      <c r="H76" s="33"/>
      <c r="I76" s="35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12.75">
      <c r="A77" s="33"/>
      <c r="B77" s="35"/>
      <c r="C77" s="35"/>
      <c r="D77" s="33"/>
      <c r="E77" s="35"/>
      <c r="F77" s="33"/>
      <c r="G77" s="35"/>
      <c r="H77" s="33"/>
      <c r="I77" s="35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12.75">
      <c r="A78" s="33"/>
      <c r="B78" s="35"/>
      <c r="C78" s="35"/>
      <c r="D78" s="33"/>
      <c r="E78" s="35"/>
      <c r="F78" s="33"/>
      <c r="G78" s="35"/>
      <c r="H78" s="33"/>
      <c r="I78" s="35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ht="12.75">
      <c r="A79" s="33"/>
      <c r="B79" s="35"/>
      <c r="C79" s="35"/>
      <c r="D79" s="33"/>
      <c r="E79" s="35"/>
      <c r="F79" s="33"/>
      <c r="G79" s="35"/>
      <c r="H79" s="33"/>
      <c r="I79" s="35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ht="12.75">
      <c r="A80" s="33"/>
      <c r="B80" s="35"/>
      <c r="C80" s="35"/>
      <c r="D80" s="33"/>
      <c r="E80" s="35"/>
      <c r="F80" s="33"/>
      <c r="G80" s="35"/>
      <c r="H80" s="33"/>
      <c r="I80" s="35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ht="12.75">
      <c r="A81" s="33"/>
      <c r="B81" s="35"/>
      <c r="C81" s="35"/>
      <c r="D81" s="33"/>
      <c r="E81" s="35"/>
      <c r="F81" s="33"/>
      <c r="G81" s="35"/>
      <c r="H81" s="33"/>
      <c r="I81" s="35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2.75">
      <c r="A82" s="33"/>
      <c r="B82" s="35"/>
      <c r="C82" s="35"/>
      <c r="D82" s="33"/>
      <c r="E82" s="35"/>
      <c r="F82" s="33"/>
      <c r="G82" s="35"/>
      <c r="H82" s="33"/>
      <c r="I82" s="35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</sheetData>
  <sheetProtection/>
  <mergeCells count="1">
    <mergeCell ref="I7:J7"/>
  </mergeCells>
  <dataValidations count="1">
    <dataValidation type="list" allowBlank="1" showInputMessage="1" showErrorMessage="1" promptTitle="Select Runner" prompt="from list" sqref="J6:J7">
      <formula1>$D$6:$D$22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63"/>
  <sheetViews>
    <sheetView tabSelected="1" zoomScalePageLayoutView="0" workbookViewId="0" topLeftCell="A1">
      <pane xSplit="7" topLeftCell="AG1" activePane="topRight" state="frozen"/>
      <selection pane="topLeft" activeCell="A1" sqref="A1"/>
      <selection pane="topRight" activeCell="AW11" sqref="AW11"/>
    </sheetView>
  </sheetViews>
  <sheetFormatPr defaultColWidth="9.140625" defaultRowHeight="12.75"/>
  <cols>
    <col min="1" max="1" width="27.140625" style="54" bestFit="1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5.7109375" style="60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5.7109375" style="60" customWidth="1"/>
    <col min="15" max="15" width="5.7109375" style="57" customWidth="1"/>
    <col min="16" max="16" width="5.7109375" style="59" customWidth="1"/>
    <col min="17" max="17" width="1.7109375" style="57" customWidth="1"/>
    <col min="18" max="18" width="21.421875" style="125" hidden="1" customWidth="1"/>
    <col min="19" max="19" width="8.8515625" style="128" hidden="1" customWidth="1"/>
    <col min="20" max="20" width="10.140625" style="125" hidden="1" customWidth="1"/>
    <col min="21" max="21" width="7.7109375" style="127" hidden="1" customWidth="1"/>
    <col min="22" max="22" width="6.28125" style="57" customWidth="1"/>
    <col min="23" max="23" width="15.7109375" style="57" customWidth="1"/>
    <col min="24" max="24" width="5.7109375" style="60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5.7109375" style="60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5.7109375" style="60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5.7109375" style="60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5.710937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3" width="1.7109375" style="57" customWidth="1"/>
    <col min="54" max="54" width="23.421875" style="57" customWidth="1"/>
    <col min="55" max="55" width="5.7109375" style="60" customWidth="1"/>
    <col min="56" max="56" width="5.7109375" style="57" customWidth="1"/>
    <col min="57" max="57" width="5.7109375" style="59" customWidth="1"/>
    <col min="58" max="58" width="1.7109375" style="57" customWidth="1"/>
    <col min="59" max="59" width="16.7109375" style="57" customWidth="1"/>
    <col min="60" max="60" width="6.7109375" style="60" customWidth="1"/>
    <col min="61" max="61" width="6.7109375" style="57" customWidth="1"/>
    <col min="62" max="62" width="6.7109375" style="59" customWidth="1"/>
    <col min="63" max="63" width="1.7109375" style="57" customWidth="1"/>
    <col min="64" max="64" width="16.7109375" style="57" customWidth="1"/>
    <col min="65" max="65" width="6.7109375" style="60" customWidth="1"/>
    <col min="66" max="66" width="6.7109375" style="57" customWidth="1"/>
    <col min="67" max="67" width="6.7109375" style="59" customWidth="1"/>
    <col min="68" max="68" width="1.7109375" style="57" customWidth="1"/>
    <col min="69" max="69" width="16.7109375" style="57" customWidth="1"/>
    <col min="70" max="70" width="6.7109375" style="60" customWidth="1"/>
    <col min="71" max="71" width="6.7109375" style="57" customWidth="1"/>
    <col min="72" max="72" width="6.7109375" style="59" customWidth="1"/>
    <col min="73" max="73" width="1.7109375" style="57" customWidth="1"/>
    <col min="74" max="74" width="16.7109375" style="57" customWidth="1"/>
    <col min="75" max="75" width="6.7109375" style="60" customWidth="1"/>
    <col min="76" max="76" width="6.7109375" style="57" customWidth="1"/>
    <col min="77" max="77" width="6.7109375" style="59" customWidth="1"/>
    <col min="78" max="78" width="1.7109375" style="57" customWidth="1"/>
    <col min="79" max="79" width="16.7109375" style="57" customWidth="1"/>
    <col min="80" max="80" width="6.7109375" style="60" customWidth="1"/>
    <col min="81" max="81" width="6.7109375" style="57" customWidth="1"/>
    <col min="82" max="82" width="6.7109375" style="59" customWidth="1"/>
    <col min="83" max="83" width="1.7109375" style="57" customWidth="1"/>
    <col min="84" max="84" width="16.7109375" style="57" customWidth="1"/>
    <col min="85" max="85" width="6.7109375" style="60" customWidth="1"/>
    <col min="86" max="86" width="6.7109375" style="57" customWidth="1"/>
    <col min="87" max="87" width="6.7109375" style="59" customWidth="1"/>
    <col min="88" max="88" width="1.7109375" style="57" customWidth="1"/>
    <col min="89" max="89" width="16.7109375" style="57" customWidth="1"/>
    <col min="90" max="90" width="6.7109375" style="60" customWidth="1"/>
    <col min="91" max="91" width="6.7109375" style="57" customWidth="1"/>
    <col min="92" max="92" width="6.7109375" style="59" customWidth="1"/>
    <col min="93" max="93" width="1.7109375" style="57" customWidth="1"/>
    <col min="94" max="16384" width="9.140625" style="57" customWidth="1"/>
  </cols>
  <sheetData>
    <row r="2" spans="1:92" s="74" customFormat="1" ht="19.5" customHeight="1">
      <c r="A2" s="73"/>
      <c r="B2" s="46"/>
      <c r="C2" s="47"/>
      <c r="E2" s="46"/>
      <c r="F2" s="46"/>
      <c r="H2" s="62" t="s">
        <v>45</v>
      </c>
      <c r="I2" s="66">
        <v>3</v>
      </c>
      <c r="J2" s="67" t="s">
        <v>9</v>
      </c>
      <c r="K2" s="81" t="s">
        <v>11</v>
      </c>
      <c r="M2" s="62" t="s">
        <v>46</v>
      </c>
      <c r="N2" s="66">
        <f>Dist1</f>
        <v>3</v>
      </c>
      <c r="O2" s="67" t="s">
        <v>9</v>
      </c>
      <c r="P2" s="81" t="s">
        <v>11</v>
      </c>
      <c r="R2" s="113" t="s">
        <v>5</v>
      </c>
      <c r="S2" s="114">
        <f>Dist1</f>
        <v>3</v>
      </c>
      <c r="T2" s="115" t="s">
        <v>9</v>
      </c>
      <c r="U2" s="116" t="s">
        <v>11</v>
      </c>
      <c r="W2" s="62" t="s">
        <v>12</v>
      </c>
      <c r="X2" s="66">
        <v>3.6</v>
      </c>
      <c r="Y2" s="67" t="s">
        <v>9</v>
      </c>
      <c r="Z2" s="81" t="s">
        <v>11</v>
      </c>
      <c r="AB2" s="62" t="s">
        <v>13</v>
      </c>
      <c r="AC2" s="66">
        <v>3.9</v>
      </c>
      <c r="AD2" s="67" t="s">
        <v>9</v>
      </c>
      <c r="AE2" s="81" t="s">
        <v>11</v>
      </c>
      <c r="AG2" s="62" t="s">
        <v>14</v>
      </c>
      <c r="AH2" s="66">
        <v>4.2</v>
      </c>
      <c r="AI2" s="67" t="s">
        <v>9</v>
      </c>
      <c r="AJ2" s="81" t="s">
        <v>11</v>
      </c>
      <c r="AL2" s="62" t="s">
        <v>15</v>
      </c>
      <c r="AM2" s="66">
        <v>4.7</v>
      </c>
      <c r="AN2" s="67" t="s">
        <v>9</v>
      </c>
      <c r="AO2" s="81" t="s">
        <v>11</v>
      </c>
      <c r="AQ2" s="62" t="s">
        <v>16</v>
      </c>
      <c r="AR2" s="66">
        <v>3.25</v>
      </c>
      <c r="AS2" s="67" t="s">
        <v>9</v>
      </c>
      <c r="AT2" s="81" t="s">
        <v>11</v>
      </c>
      <c r="AV2" s="62" t="s">
        <v>17</v>
      </c>
      <c r="AW2" s="66">
        <v>3.7</v>
      </c>
      <c r="AX2" s="67" t="s">
        <v>9</v>
      </c>
      <c r="AY2" s="81" t="s">
        <v>11</v>
      </c>
      <c r="BB2" s="62" t="s">
        <v>60</v>
      </c>
      <c r="BC2" s="60"/>
      <c r="BD2" s="49"/>
      <c r="BE2" s="50"/>
      <c r="BH2" s="75"/>
      <c r="BJ2" s="76"/>
      <c r="BM2" s="75"/>
      <c r="BO2" s="76"/>
      <c r="BR2" s="75"/>
      <c r="BT2" s="76"/>
      <c r="BW2" s="75"/>
      <c r="BY2" s="76"/>
      <c r="CB2" s="75"/>
      <c r="CD2" s="76"/>
      <c r="CG2" s="75"/>
      <c r="CI2" s="76"/>
      <c r="CL2" s="75"/>
      <c r="CN2" s="76"/>
    </row>
    <row r="3" spans="1:92" s="74" customFormat="1" ht="19.5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8" t="s">
        <v>6</v>
      </c>
      <c r="I3" s="69" t="s">
        <v>7</v>
      </c>
      <c r="J3" s="82" t="s">
        <v>8</v>
      </c>
      <c r="K3" s="83" t="s">
        <v>10</v>
      </c>
      <c r="M3" s="68" t="s">
        <v>6</v>
      </c>
      <c r="N3" s="69" t="s">
        <v>7</v>
      </c>
      <c r="O3" s="82" t="s">
        <v>8</v>
      </c>
      <c r="P3" s="83" t="s">
        <v>10</v>
      </c>
      <c r="R3" s="117" t="s">
        <v>53</v>
      </c>
      <c r="S3" s="118" t="s">
        <v>7</v>
      </c>
      <c r="T3" s="119" t="s">
        <v>8</v>
      </c>
      <c r="U3" s="120" t="s">
        <v>10</v>
      </c>
      <c r="W3" s="68" t="s">
        <v>6</v>
      </c>
      <c r="X3" s="69" t="s">
        <v>7</v>
      </c>
      <c r="Y3" s="82" t="s">
        <v>8</v>
      </c>
      <c r="Z3" s="83" t="s">
        <v>10</v>
      </c>
      <c r="AB3" s="68" t="s">
        <v>6</v>
      </c>
      <c r="AC3" s="69" t="s">
        <v>7</v>
      </c>
      <c r="AD3" s="82" t="s">
        <v>8</v>
      </c>
      <c r="AE3" s="83" t="s">
        <v>10</v>
      </c>
      <c r="AG3" s="68" t="s">
        <v>6</v>
      </c>
      <c r="AH3" s="69" t="s">
        <v>7</v>
      </c>
      <c r="AI3" s="82" t="s">
        <v>8</v>
      </c>
      <c r="AJ3" s="83" t="s">
        <v>10</v>
      </c>
      <c r="AL3" s="68" t="s">
        <v>6</v>
      </c>
      <c r="AM3" s="69" t="s">
        <v>7</v>
      </c>
      <c r="AN3" s="82" t="s">
        <v>8</v>
      </c>
      <c r="AO3" s="83" t="s">
        <v>10</v>
      </c>
      <c r="AQ3" s="68" t="s">
        <v>6</v>
      </c>
      <c r="AR3" s="69" t="s">
        <v>7</v>
      </c>
      <c r="AS3" s="82" t="s">
        <v>8</v>
      </c>
      <c r="AT3" s="83" t="s">
        <v>10</v>
      </c>
      <c r="AV3" s="68" t="s">
        <v>6</v>
      </c>
      <c r="AW3" s="69" t="s">
        <v>7</v>
      </c>
      <c r="AX3" s="82" t="s">
        <v>8</v>
      </c>
      <c r="AY3" s="83" t="s">
        <v>10</v>
      </c>
      <c r="BB3" s="68" t="s">
        <v>61</v>
      </c>
      <c r="BC3" s="69" t="s">
        <v>7</v>
      </c>
      <c r="BD3" s="50"/>
      <c r="BE3" s="50"/>
      <c r="BH3" s="75"/>
      <c r="BJ3" s="76"/>
      <c r="BM3" s="75"/>
      <c r="BO3" s="76"/>
      <c r="BR3" s="75"/>
      <c r="BT3" s="76"/>
      <c r="BW3" s="75"/>
      <c r="BY3" s="76"/>
      <c r="CB3" s="75"/>
      <c r="CD3" s="76"/>
      <c r="CG3" s="75"/>
      <c r="CI3" s="76"/>
      <c r="CL3" s="75"/>
      <c r="CN3" s="76"/>
    </row>
    <row r="4" spans="1:57" s="48" customFormat="1" ht="19.5" customHeight="1">
      <c r="A4" s="154" t="s">
        <v>75</v>
      </c>
      <c r="B4" s="64">
        <f>SUM(E4,E10)</f>
        <v>0.15260416666666665</v>
      </c>
      <c r="C4" s="65">
        <f>RANK(B4,B$4:B$6,2)</f>
        <v>1</v>
      </c>
      <c r="E4" s="64">
        <f>SUM(I4,N4,X4,AC4,AH4,AM4,AR4,AW4,BC4)</f>
        <v>0.07524305555555555</v>
      </c>
      <c r="F4" s="65">
        <f>RANK(E4,E$4:E$6,2)</f>
        <v>1</v>
      </c>
      <c r="H4" s="70" t="s">
        <v>65</v>
      </c>
      <c r="I4" s="71">
        <v>0.007604166666666666</v>
      </c>
      <c r="J4" s="29">
        <f>I4/Dist1</f>
        <v>0.002534722222222222</v>
      </c>
      <c r="K4" s="30">
        <f>IF(I4&gt;0,RANK(I4,H$46:H$55,1),)</f>
        <v>2</v>
      </c>
      <c r="M4" s="70" t="s">
        <v>69</v>
      </c>
      <c r="N4" s="71">
        <v>0.008136574074074074</v>
      </c>
      <c r="O4" s="29">
        <f>N4/Dist1</f>
        <v>0.002712191358024691</v>
      </c>
      <c r="P4" s="30">
        <f>IF(N4&gt;0,RANK(N4,H$46:H$55,1),)</f>
        <v>6</v>
      </c>
      <c r="R4" s="121" t="str">
        <f>CONCATENATE(H4," &amp; ",M4)</f>
        <v>Andrew Coles &amp; Katie Seibold</v>
      </c>
      <c r="S4" s="122">
        <f>I4+N4</f>
        <v>0.01574074074074074</v>
      </c>
      <c r="T4" s="123">
        <f>S4/($S$2*2)</f>
        <v>0.0026234567901234564</v>
      </c>
      <c r="U4" s="124">
        <f>IF(S4&gt;0,RANK(S4,S4:S6,1),)</f>
        <v>3</v>
      </c>
      <c r="W4" s="70" t="s">
        <v>64</v>
      </c>
      <c r="X4" s="71">
        <v>0.009340277777777777</v>
      </c>
      <c r="Y4" s="29">
        <f>X4/Dist2</f>
        <v>0.0025945216049382716</v>
      </c>
      <c r="Z4" s="30">
        <f>IF(X4&gt;0,RANK(X4,X$4:X$6,1),)</f>
        <v>1</v>
      </c>
      <c r="AB4" s="70" t="s">
        <v>70</v>
      </c>
      <c r="AC4" s="71">
        <v>0.01074074074074074</v>
      </c>
      <c r="AD4" s="29">
        <f>AC4/Dist3</f>
        <v>0.0027540360873694204</v>
      </c>
      <c r="AE4" s="30">
        <f>IF(AC4&gt;0,RANK(AC4,AC$4:AC$6,1),)</f>
        <v>1</v>
      </c>
      <c r="AG4" s="70" t="s">
        <v>69</v>
      </c>
      <c r="AH4" s="71">
        <v>0.011076388888888887</v>
      </c>
      <c r="AI4" s="29">
        <f>AH4/Dist4</f>
        <v>0.0026372354497354493</v>
      </c>
      <c r="AJ4" s="30">
        <f>IF(AH4&gt;0,RANK(AH4,AH$4:AH$6,1),)</f>
        <v>2</v>
      </c>
      <c r="AL4" s="70" t="s">
        <v>65</v>
      </c>
      <c r="AM4" s="71">
        <v>0.01019675925925926</v>
      </c>
      <c r="AN4" s="29">
        <f>AM4/Dist5</f>
        <v>0.0021695232466509063</v>
      </c>
      <c r="AO4" s="30">
        <f>IF(AM4&gt;0,RANK(AM4,AM$4:AM$6,1),)</f>
        <v>1</v>
      </c>
      <c r="AQ4" s="70" t="s">
        <v>64</v>
      </c>
      <c r="AR4" s="71">
        <v>0.008657407407407407</v>
      </c>
      <c r="AS4" s="29">
        <f>AR4/Dist6</f>
        <v>0.0026638176638176638</v>
      </c>
      <c r="AT4" s="30">
        <f>IF(AR4&gt;0,RANK(AR4,AR$4:AR$6,1),)</f>
        <v>2</v>
      </c>
      <c r="AV4" s="70" t="s">
        <v>70</v>
      </c>
      <c r="AW4" s="71">
        <v>0.00949074074074074</v>
      </c>
      <c r="AX4" s="29">
        <f>AW4/Dist7</f>
        <v>0.002565065065065065</v>
      </c>
      <c r="AY4" s="30">
        <f>IF(AW4&gt;0,RANK(AW4,AW$4:AW$6,1),)</f>
        <v>2</v>
      </c>
      <c r="BB4" s="70"/>
      <c r="BC4" s="155"/>
      <c r="BD4" s="52"/>
      <c r="BE4" s="53"/>
    </row>
    <row r="5" spans="1:57" s="48" customFormat="1" ht="19.5" customHeight="1">
      <c r="A5" s="154" t="s">
        <v>74</v>
      </c>
      <c r="B5" s="64">
        <f>SUM(E5,E11)</f>
        <v>0.15881944444444446</v>
      </c>
      <c r="C5" s="65">
        <f>RANK(B5,B$4:B$6,2)</f>
        <v>3</v>
      </c>
      <c r="E5" s="64">
        <f>SUM(I5,N5,X5,AC5,AH5,AM5,AR5,AW5,BC5)</f>
        <v>0.0763425925925926</v>
      </c>
      <c r="F5" s="65">
        <f>RANK(E5,E$4:E$6,2)</f>
        <v>3</v>
      </c>
      <c r="H5" s="70" t="s">
        <v>59</v>
      </c>
      <c r="I5" s="71">
        <v>0.007337962962962963</v>
      </c>
      <c r="J5" s="29">
        <f>I5/Dist1</f>
        <v>0.0024459876543209877</v>
      </c>
      <c r="K5" s="30">
        <f>IF(I5&gt;0,RANK(I5,H$46:H$55,1),)</f>
        <v>1</v>
      </c>
      <c r="M5" s="70" t="s">
        <v>68</v>
      </c>
      <c r="N5" s="71">
        <v>0.008055555555555555</v>
      </c>
      <c r="O5" s="29">
        <f>N5/Dist1</f>
        <v>0.002685185185185185</v>
      </c>
      <c r="P5" s="30">
        <f>IF(N5&gt;0,RANK(N5,H$46:H$55,1),)</f>
        <v>5</v>
      </c>
      <c r="R5" s="121" t="str">
        <f>CONCATENATE(H5," &amp; ",M5)</f>
        <v>Stephen Paine &amp; Norval Hope</v>
      </c>
      <c r="S5" s="122">
        <f>I5+N5</f>
        <v>0.015393518518518518</v>
      </c>
      <c r="T5" s="123">
        <f>S5/($S$2*2)</f>
        <v>0.0025655864197530864</v>
      </c>
      <c r="U5" s="124">
        <f>IF(S5&gt;0,RANK(S5,S4:S6,1),)</f>
        <v>1</v>
      </c>
      <c r="W5" s="70" t="s">
        <v>72</v>
      </c>
      <c r="X5" s="71">
        <v>0.010185185185185184</v>
      </c>
      <c r="Y5" s="29">
        <f>X5/Dist2</f>
        <v>0.0028292181069958845</v>
      </c>
      <c r="Z5" s="30">
        <f>IF(X5&gt;0,RANK(X5,X$4:X$6,1),)</f>
        <v>3</v>
      </c>
      <c r="AB5" s="70" t="s">
        <v>63</v>
      </c>
      <c r="AC5" s="71">
        <v>0.010868055555555556</v>
      </c>
      <c r="AD5" s="29">
        <f>AC5/Dist3</f>
        <v>0.002786680911680912</v>
      </c>
      <c r="AE5" s="30">
        <f>IF(AC5&gt;0,RANK(AC5,AC$4:AC$6,1),)</f>
        <v>3</v>
      </c>
      <c r="AG5" s="70" t="s">
        <v>68</v>
      </c>
      <c r="AH5" s="71">
        <v>0.011087962962962964</v>
      </c>
      <c r="AI5" s="29">
        <f>AH5/Dist4</f>
        <v>0.0026399911816578484</v>
      </c>
      <c r="AJ5" s="30">
        <f>IF(AH5&gt;0,RANK(AH5,AH$4:AH$6,1),)</f>
        <v>3</v>
      </c>
      <c r="AL5" s="70" t="s">
        <v>59</v>
      </c>
      <c r="AM5" s="71">
        <v>0.010439814814814813</v>
      </c>
      <c r="AN5" s="29">
        <f>AM5/Dist5</f>
        <v>0.0022212371946414497</v>
      </c>
      <c r="AO5" s="30">
        <f>IF(AM5&gt;0,RANK(AM5,AM$4:AM$6,1),)</f>
        <v>2</v>
      </c>
      <c r="AQ5" s="70" t="s">
        <v>72</v>
      </c>
      <c r="AR5" s="71">
        <v>0.00912037037037037</v>
      </c>
      <c r="AS5" s="29">
        <f>AR5/Dist6</f>
        <v>0.0028062678062678063</v>
      </c>
      <c r="AT5" s="30">
        <f>IF(AR5&gt;0,RANK(AR5,AR$4:AR$6,1),)</f>
        <v>3</v>
      </c>
      <c r="AV5" s="70" t="s">
        <v>63</v>
      </c>
      <c r="AW5" s="71">
        <v>0.009247685185185185</v>
      </c>
      <c r="AX5" s="29">
        <f>AW5/Dist7</f>
        <v>0.0024993743743743743</v>
      </c>
      <c r="AY5" s="30">
        <f>IF(AW5&gt;0,RANK(AW5,AW$4:AW$6,1),)</f>
        <v>1</v>
      </c>
      <c r="BB5" s="70"/>
      <c r="BC5" s="155"/>
      <c r="BD5" s="52"/>
      <c r="BE5" s="53"/>
    </row>
    <row r="6" spans="1:57" s="48" customFormat="1" ht="19.5" customHeight="1">
      <c r="A6" s="154" t="s">
        <v>73</v>
      </c>
      <c r="B6" s="64">
        <f>SUM(E6,E12)</f>
        <v>0.1534259259259259</v>
      </c>
      <c r="C6" s="65">
        <f>RANK(B6,B$4:B$6,2)</f>
        <v>2</v>
      </c>
      <c r="E6" s="64">
        <f>SUM(I6,N6,X6,AC6,AH6,AM6,AR6,AW6,BC6)</f>
        <v>0.07526620370370368</v>
      </c>
      <c r="F6" s="65">
        <f>RANK(E6,E$4:E$6,2)</f>
        <v>2</v>
      </c>
      <c r="H6" s="70" t="s">
        <v>66</v>
      </c>
      <c r="I6" s="71">
        <v>0.007881944444444443</v>
      </c>
      <c r="J6" s="29">
        <f>I6/Dist1</f>
        <v>0.0026273148148148145</v>
      </c>
      <c r="K6" s="30">
        <f>IF(I6&gt;0,RANK(I6,H$46:H$55,1),)</f>
        <v>4</v>
      </c>
      <c r="M6" s="70" t="s">
        <v>67</v>
      </c>
      <c r="N6" s="71">
        <v>0.0078125</v>
      </c>
      <c r="O6" s="29">
        <f>N6/Dist1</f>
        <v>0.0026041666666666665</v>
      </c>
      <c r="P6" s="30">
        <f>IF(N6&gt;0,RANK(N6,H$46:H$55,1),)</f>
        <v>3</v>
      </c>
      <c r="R6" s="121" t="str">
        <f>CONCATENATE(H6," &amp; ",M6)</f>
        <v>David Venour &amp; John Charles</v>
      </c>
      <c r="S6" s="122">
        <f>I6+N6</f>
        <v>0.01569444444444444</v>
      </c>
      <c r="T6" s="123">
        <f>S6/($S$2*2)</f>
        <v>0.00261574074074074</v>
      </c>
      <c r="U6" s="124">
        <f>IF(S6&gt;0,RANK(S6,S4:S6,1),)</f>
        <v>2</v>
      </c>
      <c r="W6" s="70" t="s">
        <v>62</v>
      </c>
      <c r="X6" s="71">
        <v>0.009375</v>
      </c>
      <c r="Y6" s="29">
        <f>X6/Dist2</f>
        <v>0.0026041666666666665</v>
      </c>
      <c r="Z6" s="30">
        <f>IF(X6&gt;0,RANK(X6,X$4:X$6,1),)</f>
        <v>2</v>
      </c>
      <c r="AB6" s="70" t="s">
        <v>71</v>
      </c>
      <c r="AC6" s="71">
        <v>0.010833333333333334</v>
      </c>
      <c r="AD6" s="29">
        <f>AC6/Dist3</f>
        <v>0.002777777777777778</v>
      </c>
      <c r="AE6" s="30">
        <f>IF(AC6&gt;0,RANK(AC6,AC$4:AC$6,1),)</f>
        <v>2</v>
      </c>
      <c r="AG6" s="70" t="s">
        <v>67</v>
      </c>
      <c r="AH6" s="71">
        <v>0.010289351851851852</v>
      </c>
      <c r="AI6" s="29">
        <f>AH6/Dist4</f>
        <v>0.0024498456790123455</v>
      </c>
      <c r="AJ6" s="30">
        <f>IF(AH6&gt;0,RANK(AH6,AH$4:AH$6,1),)</f>
        <v>1</v>
      </c>
      <c r="AL6" s="70" t="s">
        <v>66</v>
      </c>
      <c r="AM6" s="71">
        <v>0.010902777777777777</v>
      </c>
      <c r="AN6" s="29">
        <f>AM6/Dist5</f>
        <v>0.002319739952718676</v>
      </c>
      <c r="AO6" s="30">
        <f>IF(AM6&gt;0,RANK(AM6,AM$4:AM$6,1),)</f>
        <v>3</v>
      </c>
      <c r="AQ6" s="70" t="s">
        <v>62</v>
      </c>
      <c r="AR6" s="71">
        <v>0.008622685185185185</v>
      </c>
      <c r="AS6" s="29">
        <f>AR6/Dist6</f>
        <v>0.002653133903133903</v>
      </c>
      <c r="AT6" s="30">
        <f>IF(AR6&gt;0,RANK(AR6,AR$4:AR$6,1),)</f>
        <v>1</v>
      </c>
      <c r="AV6" s="70" t="s">
        <v>71</v>
      </c>
      <c r="AW6" s="71">
        <v>0.00954861111111111</v>
      </c>
      <c r="AX6" s="29">
        <f>AW6/Dist7</f>
        <v>0.0025807057057057052</v>
      </c>
      <c r="AY6" s="30">
        <f>IF(AW6&gt;0,RANK(AW6,AW$4:AW$6,1),)</f>
        <v>3</v>
      </c>
      <c r="BB6" s="70"/>
      <c r="BC6" s="155"/>
      <c r="BD6" s="52"/>
      <c r="BE6" s="53"/>
    </row>
    <row r="7" spans="9:91" ht="19.5" customHeight="1">
      <c r="I7" s="58"/>
      <c r="J7" s="59"/>
      <c r="N7" s="58"/>
      <c r="O7" s="59"/>
      <c r="S7" s="126"/>
      <c r="T7" s="127"/>
      <c r="X7" s="58"/>
      <c r="Y7" s="59"/>
      <c r="AC7" s="58"/>
      <c r="AD7" s="59"/>
      <c r="AH7" s="58"/>
      <c r="AI7" s="59"/>
      <c r="AM7" s="58"/>
      <c r="AN7" s="59"/>
      <c r="AR7" s="58"/>
      <c r="AS7" s="59"/>
      <c r="AW7" s="58"/>
      <c r="AX7" s="59"/>
      <c r="BC7" s="58"/>
      <c r="BD7" s="59"/>
      <c r="BH7" s="58"/>
      <c r="BI7" s="59"/>
      <c r="BM7" s="58"/>
      <c r="BN7" s="59"/>
      <c r="BR7" s="58"/>
      <c r="BS7" s="59"/>
      <c r="BW7" s="58"/>
      <c r="BX7" s="59"/>
      <c r="CB7" s="58"/>
      <c r="CC7" s="59"/>
      <c r="CG7" s="58"/>
      <c r="CH7" s="59"/>
      <c r="CL7" s="58"/>
      <c r="CM7" s="59"/>
    </row>
    <row r="8" spans="1:92" s="74" customFormat="1" ht="19.5" customHeight="1">
      <c r="A8" s="77"/>
      <c r="B8" s="78"/>
      <c r="C8" s="79"/>
      <c r="E8" s="78"/>
      <c r="F8" s="78"/>
      <c r="H8" s="62" t="s">
        <v>47</v>
      </c>
      <c r="I8" s="66">
        <v>3</v>
      </c>
      <c r="J8" s="67" t="s">
        <v>9</v>
      </c>
      <c r="K8" s="81" t="s">
        <v>11</v>
      </c>
      <c r="M8" s="62" t="s">
        <v>48</v>
      </c>
      <c r="N8" s="66">
        <f>Dist8</f>
        <v>3</v>
      </c>
      <c r="O8" s="67" t="s">
        <v>9</v>
      </c>
      <c r="P8" s="81" t="s">
        <v>11</v>
      </c>
      <c r="R8" s="113" t="s">
        <v>18</v>
      </c>
      <c r="S8" s="114">
        <f>Dist8</f>
        <v>3</v>
      </c>
      <c r="T8" s="115" t="s">
        <v>9</v>
      </c>
      <c r="U8" s="116" t="s">
        <v>11</v>
      </c>
      <c r="W8" s="62" t="s">
        <v>21</v>
      </c>
      <c r="X8" s="66">
        <v>3.6</v>
      </c>
      <c r="Y8" s="67" t="s">
        <v>9</v>
      </c>
      <c r="Z8" s="81" t="s">
        <v>11</v>
      </c>
      <c r="AB8" s="62" t="s">
        <v>22</v>
      </c>
      <c r="AC8" s="66">
        <v>4.45</v>
      </c>
      <c r="AD8" s="67" t="s">
        <v>9</v>
      </c>
      <c r="AE8" s="81" t="s">
        <v>11</v>
      </c>
      <c r="AG8" s="62" t="s">
        <v>23</v>
      </c>
      <c r="AH8" s="66">
        <v>4</v>
      </c>
      <c r="AI8" s="67" t="s">
        <v>9</v>
      </c>
      <c r="AJ8" s="81" t="s">
        <v>11</v>
      </c>
      <c r="AL8" s="62" t="s">
        <v>24</v>
      </c>
      <c r="AM8" s="66">
        <v>4</v>
      </c>
      <c r="AN8" s="67" t="s">
        <v>9</v>
      </c>
      <c r="AO8" s="81" t="s">
        <v>11</v>
      </c>
      <c r="AQ8" s="62" t="s">
        <v>25</v>
      </c>
      <c r="AR8" s="66">
        <v>4.5</v>
      </c>
      <c r="AS8" s="67" t="s">
        <v>9</v>
      </c>
      <c r="AT8" s="81" t="s">
        <v>11</v>
      </c>
      <c r="AV8" s="62" t="s">
        <v>26</v>
      </c>
      <c r="AW8" s="66">
        <v>3.7</v>
      </c>
      <c r="AX8" s="67" t="s">
        <v>9</v>
      </c>
      <c r="AY8" s="81" t="s">
        <v>11</v>
      </c>
      <c r="BB8" s="62" t="s">
        <v>60</v>
      </c>
      <c r="BC8" s="58"/>
      <c r="BD8" s="49"/>
      <c r="BE8" s="50"/>
      <c r="BH8" s="80"/>
      <c r="BI8" s="76"/>
      <c r="BJ8" s="76"/>
      <c r="BM8" s="80"/>
      <c r="BN8" s="76"/>
      <c r="BO8" s="76"/>
      <c r="BR8" s="80"/>
      <c r="BS8" s="76"/>
      <c r="BT8" s="76"/>
      <c r="BW8" s="80"/>
      <c r="BX8" s="76"/>
      <c r="BY8" s="76"/>
      <c r="CB8" s="80"/>
      <c r="CC8" s="76"/>
      <c r="CD8" s="76"/>
      <c r="CG8" s="80"/>
      <c r="CH8" s="76"/>
      <c r="CI8" s="76"/>
      <c r="CL8" s="80"/>
      <c r="CM8" s="76"/>
      <c r="CN8" s="76"/>
    </row>
    <row r="9" spans="1:92" s="74" customFormat="1" ht="19.5" customHeight="1">
      <c r="A9" s="72" t="s">
        <v>0</v>
      </c>
      <c r="B9" s="78"/>
      <c r="C9" s="79"/>
      <c r="E9" s="62" t="s">
        <v>27</v>
      </c>
      <c r="F9" s="63" t="s">
        <v>10</v>
      </c>
      <c r="H9" s="68" t="s">
        <v>6</v>
      </c>
      <c r="I9" s="69" t="s">
        <v>7</v>
      </c>
      <c r="J9" s="82" t="s">
        <v>8</v>
      </c>
      <c r="K9" s="83" t="s">
        <v>10</v>
      </c>
      <c r="M9" s="68" t="s">
        <v>6</v>
      </c>
      <c r="N9" s="69" t="s">
        <v>7</v>
      </c>
      <c r="O9" s="82" t="s">
        <v>8</v>
      </c>
      <c r="P9" s="83" t="s">
        <v>10</v>
      </c>
      <c r="R9" s="117" t="s">
        <v>53</v>
      </c>
      <c r="S9" s="118" t="s">
        <v>7</v>
      </c>
      <c r="T9" s="119" t="s">
        <v>8</v>
      </c>
      <c r="U9" s="120" t="s">
        <v>10</v>
      </c>
      <c r="W9" s="68" t="s">
        <v>6</v>
      </c>
      <c r="X9" s="69" t="s">
        <v>7</v>
      </c>
      <c r="Y9" s="82" t="s">
        <v>8</v>
      </c>
      <c r="Z9" s="83" t="s">
        <v>10</v>
      </c>
      <c r="AB9" s="68" t="s">
        <v>6</v>
      </c>
      <c r="AC9" s="69" t="s">
        <v>7</v>
      </c>
      <c r="AD9" s="82" t="s">
        <v>8</v>
      </c>
      <c r="AE9" s="83" t="s">
        <v>10</v>
      </c>
      <c r="AG9" s="68" t="s">
        <v>6</v>
      </c>
      <c r="AH9" s="69" t="s">
        <v>7</v>
      </c>
      <c r="AI9" s="82" t="s">
        <v>8</v>
      </c>
      <c r="AJ9" s="83" t="s">
        <v>10</v>
      </c>
      <c r="AL9" s="68" t="s">
        <v>6</v>
      </c>
      <c r="AM9" s="69" t="s">
        <v>7</v>
      </c>
      <c r="AN9" s="82" t="s">
        <v>8</v>
      </c>
      <c r="AO9" s="83" t="s">
        <v>10</v>
      </c>
      <c r="AQ9" s="68" t="s">
        <v>6</v>
      </c>
      <c r="AR9" s="69" t="s">
        <v>7</v>
      </c>
      <c r="AS9" s="82" t="s">
        <v>8</v>
      </c>
      <c r="AT9" s="83" t="s">
        <v>10</v>
      </c>
      <c r="AV9" s="68" t="s">
        <v>6</v>
      </c>
      <c r="AW9" s="69" t="s">
        <v>7</v>
      </c>
      <c r="AX9" s="82" t="s">
        <v>8</v>
      </c>
      <c r="AY9" s="83" t="s">
        <v>10</v>
      </c>
      <c r="BB9" s="68" t="s">
        <v>61</v>
      </c>
      <c r="BC9" s="69" t="s">
        <v>7</v>
      </c>
      <c r="BD9" s="50"/>
      <c r="BE9" s="50"/>
      <c r="BH9" s="80"/>
      <c r="BI9" s="76"/>
      <c r="BJ9" s="76"/>
      <c r="BM9" s="80"/>
      <c r="BN9" s="76"/>
      <c r="BO9" s="76"/>
      <c r="BR9" s="80"/>
      <c r="BS9" s="76"/>
      <c r="BT9" s="76"/>
      <c r="BW9" s="80"/>
      <c r="BX9" s="76"/>
      <c r="BY9" s="76"/>
      <c r="CB9" s="80"/>
      <c r="CC9" s="76"/>
      <c r="CD9" s="76"/>
      <c r="CG9" s="80"/>
      <c r="CH9" s="76"/>
      <c r="CI9" s="76"/>
      <c r="CL9" s="80"/>
      <c r="CM9" s="76"/>
      <c r="CN9" s="76"/>
    </row>
    <row r="10" spans="1:91" ht="19.5" customHeight="1">
      <c r="A10" s="154" t="s">
        <v>75</v>
      </c>
      <c r="E10" s="64">
        <f>SUM(I10,N10,X10,AC10,AH10,AM10,AR10,AW10,BC10)</f>
        <v>0.07736111111111112</v>
      </c>
      <c r="F10" s="65">
        <f>RANK(E10,E$10:E$12,2)</f>
        <v>1</v>
      </c>
      <c r="H10" s="70" t="s">
        <v>70</v>
      </c>
      <c r="I10" s="71">
        <v>0.007962962962962963</v>
      </c>
      <c r="J10" s="29">
        <f>I10/Dist8</f>
        <v>0.002654320987654321</v>
      </c>
      <c r="K10" s="30">
        <f>IF(I10&gt;0,RANK(I10,H$58:H$67,1),)</f>
        <v>1</v>
      </c>
      <c r="L10" s="48"/>
      <c r="M10" s="70" t="s">
        <v>64</v>
      </c>
      <c r="N10" s="71">
        <v>0.008055555555555555</v>
      </c>
      <c r="O10" s="29">
        <f>N10/Dist8</f>
        <v>0.002685185185185185</v>
      </c>
      <c r="P10" s="30">
        <f>IF(N10&gt;0,RANK(N10,H$58:H$67,1),)</f>
        <v>3</v>
      </c>
      <c r="Q10" s="48"/>
      <c r="R10" s="121" t="str">
        <f>CONCATENATE(H10," &amp; ",M10)</f>
        <v>Tony Hally &amp; Dale Nardella</v>
      </c>
      <c r="S10" s="122">
        <f>I10+N10</f>
        <v>0.01601851851851852</v>
      </c>
      <c r="T10" s="123">
        <f>S10/($S$8*2)</f>
        <v>0.0026697530864197533</v>
      </c>
      <c r="U10" s="124">
        <f>IF(S10&gt;0,RANK(S10,S10:S12,1),)</f>
        <v>1</v>
      </c>
      <c r="V10" s="48"/>
      <c r="W10" s="70" t="s">
        <v>69</v>
      </c>
      <c r="X10" s="71">
        <v>0.010868055555555556</v>
      </c>
      <c r="Y10" s="29">
        <f>X10/Dist9</f>
        <v>0.003018904320987654</v>
      </c>
      <c r="Z10" s="30">
        <f>IF(X10&gt;0,RANK(X10,X$10:X$12,1),)</f>
        <v>3</v>
      </c>
      <c r="AA10" s="48"/>
      <c r="AB10" s="70" t="s">
        <v>65</v>
      </c>
      <c r="AC10" s="71">
        <v>0.010266203703703703</v>
      </c>
      <c r="AD10" s="29">
        <f>AC10/Dist10</f>
        <v>0.002307012068248023</v>
      </c>
      <c r="AE10" s="30">
        <f>IF(AC10&gt;0,RANK(AC10,AC$10:AC$12,1),)</f>
        <v>1</v>
      </c>
      <c r="AF10" s="48"/>
      <c r="AG10" s="70" t="s">
        <v>70</v>
      </c>
      <c r="AH10" s="71">
        <v>0.009421296296296296</v>
      </c>
      <c r="AI10" s="29">
        <f>AH10/Dist11</f>
        <v>0.002355324074074074</v>
      </c>
      <c r="AJ10" s="30">
        <f>IF(AH10&gt;0,RANK(AH10,AH$10:AH$12,1),)</f>
        <v>1</v>
      </c>
      <c r="AK10" s="48"/>
      <c r="AL10" s="70" t="s">
        <v>65</v>
      </c>
      <c r="AM10" s="71">
        <v>0.009953703703703704</v>
      </c>
      <c r="AN10" s="29">
        <f>AM10/Dist12</f>
        <v>0.002488425925925926</v>
      </c>
      <c r="AO10" s="30">
        <f>IF(AM10&gt;0,RANK(AM10,AM$10:AM$12,1),)</f>
        <v>1</v>
      </c>
      <c r="AP10" s="48"/>
      <c r="AQ10" s="70" t="s">
        <v>69</v>
      </c>
      <c r="AR10" s="71">
        <v>0.011539351851851851</v>
      </c>
      <c r="AS10" s="29">
        <f>AR10/Dist13</f>
        <v>0.0025643004115226335</v>
      </c>
      <c r="AT10" s="30">
        <f>IF(AR10&gt;0,RANK(AR10,AR$10:AR$12,1),)</f>
        <v>2</v>
      </c>
      <c r="AU10" s="48"/>
      <c r="AV10" s="70" t="s">
        <v>64</v>
      </c>
      <c r="AW10" s="71">
        <v>0.009293981481481481</v>
      </c>
      <c r="AX10" s="29">
        <f>AW10/Dist14</f>
        <v>0.0025118868868868865</v>
      </c>
      <c r="AY10" s="30">
        <f>IF(AW10&gt;0,RANK(AW10,AW$10:AW$12,1),)</f>
        <v>1</v>
      </c>
      <c r="AZ10" s="48"/>
      <c r="BA10" s="48"/>
      <c r="BB10" s="70"/>
      <c r="BC10" s="155"/>
      <c r="BD10" s="52"/>
      <c r="BE10" s="53"/>
      <c r="BF10" s="48"/>
      <c r="BH10" s="58"/>
      <c r="BI10" s="59"/>
      <c r="BM10" s="58"/>
      <c r="BN10" s="59"/>
      <c r="BR10" s="58"/>
      <c r="BS10" s="59"/>
      <c r="BW10" s="58"/>
      <c r="BX10" s="59"/>
      <c r="CB10" s="58"/>
      <c r="CC10" s="59"/>
      <c r="CG10" s="58"/>
      <c r="CH10" s="59"/>
      <c r="CL10" s="58"/>
      <c r="CM10" s="59"/>
    </row>
    <row r="11" spans="1:91" ht="19.5" customHeight="1">
      <c r="A11" s="154" t="s">
        <v>74</v>
      </c>
      <c r="E11" s="64">
        <f>SUM(I11,N11,X11,AC11,AH11,AM11,AR11,AW11,BC11)</f>
        <v>0.08247685185185186</v>
      </c>
      <c r="F11" s="65">
        <f>RANK(E11,E$10:E$12,2)</f>
        <v>3</v>
      </c>
      <c r="H11" s="70" t="s">
        <v>63</v>
      </c>
      <c r="I11" s="71">
        <v>0.008101851851851851</v>
      </c>
      <c r="J11" s="29">
        <f>I11/Dist8</f>
        <v>0.002700617283950617</v>
      </c>
      <c r="K11" s="30">
        <f>IF(I11&gt;0,RANK(I11,H$58:H$67,1),)</f>
        <v>4</v>
      </c>
      <c r="L11" s="48"/>
      <c r="M11" s="70" t="s">
        <v>72</v>
      </c>
      <c r="N11" s="71">
        <v>0.009363425925925926</v>
      </c>
      <c r="O11" s="29">
        <f>N11/Dist8</f>
        <v>0.003121141975308642</v>
      </c>
      <c r="P11" s="30">
        <f>IF(N11&gt;0,RANK(N11,H$58:H$67,1),)</f>
        <v>6</v>
      </c>
      <c r="Q11" s="48"/>
      <c r="R11" s="121" t="str">
        <f>CONCATENATE(H11," &amp; ",M11)</f>
        <v>Thai Phan &amp; John Hand</v>
      </c>
      <c r="S11" s="122">
        <f>I11+N11</f>
        <v>0.017465277777777777</v>
      </c>
      <c r="T11" s="123">
        <f>S11/($S$8*2)</f>
        <v>0.0029108796296296296</v>
      </c>
      <c r="U11" s="124">
        <f>IF(S11&gt;0,RANK(S11,S10:S12,1),)</f>
        <v>3</v>
      </c>
      <c r="V11" s="48"/>
      <c r="W11" s="70" t="s">
        <v>59</v>
      </c>
      <c r="X11" s="71">
        <v>0.009641203703703704</v>
      </c>
      <c r="Y11" s="29">
        <f>X11/Dist9</f>
        <v>0.0026781121399176953</v>
      </c>
      <c r="Z11" s="30">
        <f>IF(X11&gt;0,RANK(X11,X$10:X$12,1),)</f>
        <v>1</v>
      </c>
      <c r="AA11" s="48"/>
      <c r="AB11" s="70" t="s">
        <v>68</v>
      </c>
      <c r="AC11" s="71">
        <v>0.011423611111111112</v>
      </c>
      <c r="AD11" s="29">
        <f>AC11/Dist10</f>
        <v>0.002567103620474407</v>
      </c>
      <c r="AE11" s="30">
        <f>IF(AC11&gt;0,RANK(AC11,AC$10:AC$12,1),)</f>
        <v>3</v>
      </c>
      <c r="AF11" s="48"/>
      <c r="AG11" s="70" t="s">
        <v>63</v>
      </c>
      <c r="AH11" s="71">
        <v>0.009780092592592592</v>
      </c>
      <c r="AI11" s="29">
        <f>AH11/Dist11</f>
        <v>0.002445023148148148</v>
      </c>
      <c r="AJ11" s="30">
        <f>IF(AH11&gt;0,RANK(AH11,AH$10:AH$12,1),)</f>
        <v>3</v>
      </c>
      <c r="AK11" s="48"/>
      <c r="AL11" s="70" t="s">
        <v>59</v>
      </c>
      <c r="AM11" s="71">
        <v>0.010347222222222223</v>
      </c>
      <c r="AN11" s="29">
        <f>AM11/Dist12</f>
        <v>0.0025868055555555557</v>
      </c>
      <c r="AO11" s="30">
        <f>IF(AM11&gt;0,RANK(AM11,AM$10:AM$12,1),)</f>
        <v>2</v>
      </c>
      <c r="AP11" s="48"/>
      <c r="AQ11" s="70" t="s">
        <v>68</v>
      </c>
      <c r="AR11" s="71">
        <v>0.011782407407407406</v>
      </c>
      <c r="AS11" s="29">
        <f>AR11/Dist13</f>
        <v>0.002618312757201646</v>
      </c>
      <c r="AT11" s="30">
        <f>IF(AR11&gt;0,RANK(AR11,AR$10:AR$12,1),)</f>
        <v>3</v>
      </c>
      <c r="AU11" s="48"/>
      <c r="AV11" s="70" t="s">
        <v>72</v>
      </c>
      <c r="AW11" s="71">
        <v>0.012037037037037035</v>
      </c>
      <c r="AX11" s="29">
        <f>AW11/Dist14</f>
        <v>0.003253253253253253</v>
      </c>
      <c r="AY11" s="30">
        <f>IF(AW11&gt;0,RANK(AW11,AW$10:AW$12,1),)</f>
        <v>3</v>
      </c>
      <c r="AZ11" s="48"/>
      <c r="BA11" s="48"/>
      <c r="BB11" s="70"/>
      <c r="BC11" s="155"/>
      <c r="BD11" s="52"/>
      <c r="BE11" s="53"/>
      <c r="BF11" s="48"/>
      <c r="BH11" s="58"/>
      <c r="BI11" s="59"/>
      <c r="BM11" s="58"/>
      <c r="BN11" s="59"/>
      <c r="BR11" s="58"/>
      <c r="BS11" s="59"/>
      <c r="BW11" s="58"/>
      <c r="BX11" s="59"/>
      <c r="CB11" s="58"/>
      <c r="CC11" s="59"/>
      <c r="CG11" s="58"/>
      <c r="CH11" s="59"/>
      <c r="CL11" s="58"/>
      <c r="CM11" s="59"/>
    </row>
    <row r="12" spans="1:91" ht="19.5" customHeight="1">
      <c r="A12" s="154" t="s">
        <v>73</v>
      </c>
      <c r="E12" s="64">
        <f>SUM(I12,N12,X12,AC12,AH12,AM12,AR12,AW12,BC12)</f>
        <v>0.07815972222222221</v>
      </c>
      <c r="F12" s="65">
        <f>RANK(E12,E$10:E$12,2)</f>
        <v>2</v>
      </c>
      <c r="H12" s="70" t="s">
        <v>62</v>
      </c>
      <c r="I12" s="71">
        <v>0.007986111111111112</v>
      </c>
      <c r="J12" s="29">
        <f>I12/Dist8</f>
        <v>0.0026620370370370374</v>
      </c>
      <c r="K12" s="30">
        <f>IF(I12&gt;0,RANK(I12,H$58:H$67,1),)</f>
        <v>2</v>
      </c>
      <c r="L12" s="48"/>
      <c r="M12" s="70" t="s">
        <v>71</v>
      </c>
      <c r="N12" s="71">
        <v>0.008148148148148147</v>
      </c>
      <c r="O12" s="29">
        <f>N12/Dist8</f>
        <v>0.0027160493827160493</v>
      </c>
      <c r="P12" s="30">
        <f>IF(N12&gt;0,RANK(N12,H$58:H$67,1),)</f>
        <v>5</v>
      </c>
      <c r="Q12" s="48"/>
      <c r="R12" s="121" t="str">
        <f>CONCATENATE(H12," &amp; ",M12)</f>
        <v>Rory Heddles &amp; Garth Calder</v>
      </c>
      <c r="S12" s="122">
        <f>I12+N12</f>
        <v>0.016134259259259258</v>
      </c>
      <c r="T12" s="123">
        <f>S12/($S$8*2)</f>
        <v>0.002689043209876543</v>
      </c>
      <c r="U12" s="124">
        <f>IF(S12&gt;0,RANK(S12,S10:S12,1),)</f>
        <v>2</v>
      </c>
      <c r="V12" s="48"/>
      <c r="W12" s="70" t="s">
        <v>66</v>
      </c>
      <c r="X12" s="71">
        <v>0.01056712962962963</v>
      </c>
      <c r="Y12" s="29">
        <f>X12/Dist9</f>
        <v>0.0029353137860082304</v>
      </c>
      <c r="Z12" s="30">
        <f>IF(X12&gt;0,RANK(X12,X$10:X$12,1),)</f>
        <v>2</v>
      </c>
      <c r="AA12" s="48"/>
      <c r="AB12" s="70" t="s">
        <v>67</v>
      </c>
      <c r="AC12" s="71">
        <v>0.010578703703703703</v>
      </c>
      <c r="AD12" s="29">
        <f>AC12/Dist10</f>
        <v>0.002377236787349147</v>
      </c>
      <c r="AE12" s="30">
        <f>IF(AC12&gt;0,RANK(AC12,AC$10:AC$12,1),)</f>
        <v>2</v>
      </c>
      <c r="AF12" s="48"/>
      <c r="AG12" s="70" t="s">
        <v>62</v>
      </c>
      <c r="AH12" s="71">
        <v>0.009421296296296296</v>
      </c>
      <c r="AI12" s="29">
        <f>AH12/Dist11</f>
        <v>0.002355324074074074</v>
      </c>
      <c r="AJ12" s="30">
        <f>IF(AH12&gt;0,RANK(AH12,AH$10:AH$12,1),)</f>
        <v>1</v>
      </c>
      <c r="AK12" s="48"/>
      <c r="AL12" s="70" t="s">
        <v>66</v>
      </c>
      <c r="AM12" s="71">
        <v>0.011076388888888887</v>
      </c>
      <c r="AN12" s="29">
        <f>AM12/Dist12</f>
        <v>0.002769097222222222</v>
      </c>
      <c r="AO12" s="30">
        <f>IF(AM12&gt;0,RANK(AM12,AM$10:AM$12,1),)</f>
        <v>3</v>
      </c>
      <c r="AP12" s="48"/>
      <c r="AQ12" s="70" t="s">
        <v>67</v>
      </c>
      <c r="AR12" s="71">
        <v>0.010949074074074075</v>
      </c>
      <c r="AS12" s="29">
        <f>AR12/Dist13</f>
        <v>0.002433127572016461</v>
      </c>
      <c r="AT12" s="30">
        <f>IF(AR12&gt;0,RANK(AR12,AR$10:AR$12,1),)</f>
        <v>1</v>
      </c>
      <c r="AU12" s="48"/>
      <c r="AV12" s="70" t="s">
        <v>71</v>
      </c>
      <c r="AW12" s="71">
        <v>0.009432870370370371</v>
      </c>
      <c r="AX12" s="29">
        <f>AW12/Dist14</f>
        <v>0.0025494244244244246</v>
      </c>
      <c r="AY12" s="30">
        <f>IF(AW12&gt;0,RANK(AW12,AW$10:AW$12,1),)</f>
        <v>2</v>
      </c>
      <c r="AZ12" s="48"/>
      <c r="BA12" s="48"/>
      <c r="BB12" s="70"/>
      <c r="BC12" s="155"/>
      <c r="BD12" s="52"/>
      <c r="BE12" s="53"/>
      <c r="BF12" s="48"/>
      <c r="BH12" s="58"/>
      <c r="BI12" s="59"/>
      <c r="BM12" s="58"/>
      <c r="BN12" s="59"/>
      <c r="BR12" s="58"/>
      <c r="BS12" s="59"/>
      <c r="BW12" s="58"/>
      <c r="BX12" s="59"/>
      <c r="CB12" s="58"/>
      <c r="CC12" s="59"/>
      <c r="CG12" s="58"/>
      <c r="CH12" s="59"/>
      <c r="CL12" s="58"/>
      <c r="CM12" s="59"/>
    </row>
    <row r="14" ht="30" customHeight="1"/>
    <row r="15" ht="30" customHeight="1"/>
    <row r="16" ht="30" customHeight="1"/>
    <row r="17" ht="30" customHeight="1"/>
    <row r="18" ht="30" customHeight="1"/>
    <row r="19" ht="12.75">
      <c r="A19" s="54" t="s">
        <v>0</v>
      </c>
    </row>
    <row r="20" spans="1:9" ht="12.75">
      <c r="A20" s="54">
        <v>1</v>
      </c>
      <c r="B20" s="54" t="str">
        <f>'Team Selection'!D3</f>
        <v>Andrew Coles</v>
      </c>
      <c r="C20" s="54" t="str">
        <f>'Team Selection'!F3</f>
        <v>Katie Seibold</v>
      </c>
      <c r="D20" s="54" t="str">
        <f>'Team Selection'!H3</f>
        <v>Tony Hally</v>
      </c>
      <c r="E20" s="54" t="str">
        <f>'Team Selection'!J3</f>
        <v>Dale Nardella</v>
      </c>
      <c r="F20" s="59"/>
      <c r="I20" s="59"/>
    </row>
    <row r="21" spans="1:9" ht="12.75">
      <c r="A21" s="54">
        <v>2</v>
      </c>
      <c r="B21" s="54" t="str">
        <f>'Team Selection'!D4</f>
        <v>Stephen Paine</v>
      </c>
      <c r="C21" s="54" t="str">
        <f>'Team Selection'!F4</f>
        <v>Norval Hope</v>
      </c>
      <c r="D21" s="54" t="str">
        <f>'Team Selection'!H4</f>
        <v>Thai Phan</v>
      </c>
      <c r="E21" s="54" t="str">
        <f>'Team Selection'!J4</f>
        <v>John Hand</v>
      </c>
      <c r="F21" s="59"/>
      <c r="I21" s="59"/>
    </row>
    <row r="22" spans="1:9" ht="12.75">
      <c r="A22" s="54">
        <v>3</v>
      </c>
      <c r="B22" s="54" t="str">
        <f>'Team Selection'!D5</f>
        <v>David Venour</v>
      </c>
      <c r="C22" s="54" t="str">
        <f>'Team Selection'!F5</f>
        <v>John Charles</v>
      </c>
      <c r="D22" s="54" t="str">
        <f>'Team Selection'!H5</f>
        <v>Garth Calder</v>
      </c>
      <c r="E22" s="54" t="str">
        <f>'Team Selection'!J5</f>
        <v>Rory Heddles</v>
      </c>
      <c r="F22" s="59"/>
      <c r="I22" s="59"/>
    </row>
    <row r="23" spans="9:55" ht="12.75">
      <c r="I23" s="51"/>
      <c r="N23" s="51"/>
      <c r="S23" s="129"/>
      <c r="X23" s="51"/>
      <c r="AC23" s="51"/>
      <c r="AH23" s="51"/>
      <c r="AM23" s="51"/>
      <c r="AR23" s="51"/>
      <c r="AW23" s="51"/>
      <c r="BC23" s="51"/>
    </row>
    <row r="24" spans="9:55" ht="12.75">
      <c r="I24" s="51"/>
      <c r="N24" s="51"/>
      <c r="S24" s="129"/>
      <c r="X24" s="51"/>
      <c r="AC24" s="51"/>
      <c r="AH24" s="51"/>
      <c r="AM24" s="51"/>
      <c r="AR24" s="51"/>
      <c r="AW24" s="51"/>
      <c r="BC24" s="51"/>
    </row>
    <row r="25" spans="9:55" ht="12.75">
      <c r="I25" s="51"/>
      <c r="S25" s="129"/>
      <c r="X25" s="51"/>
      <c r="AC25" s="51"/>
      <c r="AH25" s="51"/>
      <c r="AM25" s="51"/>
      <c r="AR25" s="51"/>
      <c r="AW25" s="51"/>
      <c r="BC25" s="51"/>
    </row>
    <row r="26" spans="9:55" ht="12.75">
      <c r="I26" s="51"/>
      <c r="S26" s="129"/>
      <c r="X26" s="51"/>
      <c r="AC26" s="51"/>
      <c r="AH26" s="51"/>
      <c r="AM26" s="51"/>
      <c r="AR26" s="51"/>
      <c r="AW26" s="51"/>
      <c r="BC26" s="51"/>
    </row>
    <row r="27" spans="9:55" ht="12.75">
      <c r="I27" s="51"/>
      <c r="S27" s="129"/>
      <c r="X27" s="51"/>
      <c r="AC27" s="51"/>
      <c r="AH27" s="51"/>
      <c r="AM27" s="51"/>
      <c r="AR27" s="51"/>
      <c r="AW27" s="51"/>
      <c r="BC27" s="51"/>
    </row>
    <row r="35" ht="12.75">
      <c r="L35" s="74"/>
    </row>
    <row r="36" ht="12.75">
      <c r="L36" s="74"/>
    </row>
    <row r="37" ht="12.75">
      <c r="L37" s="48"/>
    </row>
    <row r="38" ht="12.75">
      <c r="L38" s="48"/>
    </row>
    <row r="39" ht="12.75">
      <c r="L39" s="48"/>
    </row>
    <row r="40" ht="12.75">
      <c r="L40" s="48"/>
    </row>
    <row r="41" spans="12:15" ht="12.75">
      <c r="L41" s="48"/>
      <c r="N41" s="58"/>
      <c r="O41" s="59"/>
    </row>
    <row r="42" ht="12.75">
      <c r="L42" s="48"/>
    </row>
    <row r="43" ht="12.75">
      <c r="L43" s="48"/>
    </row>
    <row r="44" spans="9:10" ht="12.75">
      <c r="I44" s="58"/>
      <c r="J44" s="59"/>
    </row>
    <row r="45" spans="8:92" ht="12.75">
      <c r="H45" s="62" t="s">
        <v>57</v>
      </c>
      <c r="J45" s="74"/>
      <c r="N45" s="128"/>
      <c r="O45" s="125"/>
      <c r="R45" s="57"/>
      <c r="S45" s="60"/>
      <c r="T45" s="57"/>
      <c r="U45" s="59"/>
      <c r="CL45" s="57"/>
      <c r="CN45" s="57"/>
    </row>
    <row r="46" spans="8:92" ht="12.75">
      <c r="H46" s="71">
        <f>I4</f>
        <v>0.007604166666666666</v>
      </c>
      <c r="K46" s="57"/>
      <c r="L46" s="48"/>
      <c r="N46" s="57"/>
      <c r="O46" s="59"/>
      <c r="P46" s="57"/>
      <c r="Q46" s="125"/>
      <c r="R46" s="128"/>
      <c r="S46" s="125"/>
      <c r="T46" s="127"/>
      <c r="U46" s="57"/>
      <c r="W46" s="60"/>
      <c r="X46" s="57"/>
      <c r="Y46" s="59"/>
      <c r="Z46" s="57"/>
      <c r="AB46" s="60"/>
      <c r="AC46" s="57"/>
      <c r="AD46" s="59"/>
      <c r="AE46" s="57"/>
      <c r="AG46" s="60"/>
      <c r="AH46" s="57"/>
      <c r="AI46" s="59"/>
      <c r="AJ46" s="57"/>
      <c r="AL46" s="60"/>
      <c r="AM46" s="57"/>
      <c r="AN46" s="59"/>
      <c r="AO46" s="57"/>
      <c r="AQ46" s="60"/>
      <c r="AR46" s="57"/>
      <c r="AS46" s="59"/>
      <c r="AT46" s="57"/>
      <c r="AV46" s="60"/>
      <c r="AW46" s="57"/>
      <c r="AX46" s="59"/>
      <c r="AY46" s="57"/>
      <c r="BB46" s="60"/>
      <c r="BC46" s="57"/>
      <c r="BD46" s="59"/>
      <c r="BE46" s="57"/>
      <c r="BG46" s="60"/>
      <c r="BH46" s="57"/>
      <c r="BI46" s="59"/>
      <c r="BJ46" s="57"/>
      <c r="BL46" s="60"/>
      <c r="BM46" s="57"/>
      <c r="BN46" s="59"/>
      <c r="BO46" s="57"/>
      <c r="BQ46" s="60"/>
      <c r="BR46" s="57"/>
      <c r="BS46" s="59"/>
      <c r="BT46" s="57"/>
      <c r="BV46" s="60"/>
      <c r="BW46" s="57"/>
      <c r="BX46" s="59"/>
      <c r="BY46" s="57"/>
      <c r="CA46" s="60"/>
      <c r="CB46" s="57"/>
      <c r="CC46" s="59"/>
      <c r="CD46" s="57"/>
      <c r="CF46" s="60"/>
      <c r="CG46" s="57"/>
      <c r="CH46" s="59"/>
      <c r="CI46" s="57"/>
      <c r="CK46" s="60"/>
      <c r="CL46" s="57"/>
      <c r="CM46" s="59"/>
      <c r="CN46" s="57"/>
    </row>
    <row r="47" spans="8:92" ht="12.75">
      <c r="H47" s="71">
        <f>I5</f>
        <v>0.007337962962962963</v>
      </c>
      <c r="K47" s="57"/>
      <c r="L47" s="48"/>
      <c r="N47" s="57"/>
      <c r="O47" s="59"/>
      <c r="P47" s="57"/>
      <c r="Q47" s="125"/>
      <c r="R47" s="128"/>
      <c r="S47" s="125"/>
      <c r="T47" s="127"/>
      <c r="U47" s="57"/>
      <c r="W47" s="60"/>
      <c r="X47" s="57"/>
      <c r="Y47" s="59"/>
      <c r="Z47" s="57"/>
      <c r="AB47" s="60"/>
      <c r="AC47" s="57"/>
      <c r="AD47" s="59"/>
      <c r="AE47" s="57"/>
      <c r="AG47" s="60"/>
      <c r="AH47" s="57"/>
      <c r="AI47" s="59"/>
      <c r="AJ47" s="57"/>
      <c r="AL47" s="60"/>
      <c r="AM47" s="57"/>
      <c r="AN47" s="59"/>
      <c r="AO47" s="57"/>
      <c r="AQ47" s="60"/>
      <c r="AR47" s="57"/>
      <c r="AS47" s="59"/>
      <c r="AT47" s="57"/>
      <c r="AV47" s="60"/>
      <c r="AW47" s="57"/>
      <c r="AX47" s="59"/>
      <c r="AY47" s="57"/>
      <c r="BB47" s="60"/>
      <c r="BC47" s="57"/>
      <c r="BD47" s="59"/>
      <c r="BE47" s="57"/>
      <c r="BG47" s="60"/>
      <c r="BH47" s="57"/>
      <c r="BI47" s="59"/>
      <c r="BJ47" s="57"/>
      <c r="BL47" s="60"/>
      <c r="BM47" s="57"/>
      <c r="BN47" s="59"/>
      <c r="BO47" s="57"/>
      <c r="BQ47" s="60"/>
      <c r="BR47" s="57"/>
      <c r="BS47" s="59"/>
      <c r="BT47" s="57"/>
      <c r="BV47" s="60"/>
      <c r="BW47" s="57"/>
      <c r="BX47" s="59"/>
      <c r="BY47" s="57"/>
      <c r="CA47" s="60"/>
      <c r="CB47" s="57"/>
      <c r="CC47" s="59"/>
      <c r="CD47" s="57"/>
      <c r="CF47" s="60"/>
      <c r="CG47" s="57"/>
      <c r="CH47" s="59"/>
      <c r="CI47" s="57"/>
      <c r="CK47" s="60"/>
      <c r="CL47" s="57"/>
      <c r="CM47" s="59"/>
      <c r="CN47" s="57"/>
    </row>
    <row r="48" spans="8:92" ht="12.75">
      <c r="H48" s="71">
        <f>I6</f>
        <v>0.007881944444444443</v>
      </c>
      <c r="K48" s="57"/>
      <c r="L48" s="48"/>
      <c r="N48" s="57"/>
      <c r="O48" s="59"/>
      <c r="P48" s="57"/>
      <c r="Q48" s="125"/>
      <c r="R48" s="128"/>
      <c r="S48" s="125"/>
      <c r="T48" s="127"/>
      <c r="U48" s="57"/>
      <c r="W48" s="60"/>
      <c r="X48" s="57"/>
      <c r="Y48" s="59"/>
      <c r="Z48" s="57"/>
      <c r="AB48" s="60"/>
      <c r="AC48" s="57"/>
      <c r="AD48" s="59"/>
      <c r="AE48" s="57"/>
      <c r="AG48" s="60"/>
      <c r="AH48" s="57"/>
      <c r="AI48" s="59"/>
      <c r="AJ48" s="57"/>
      <c r="AL48" s="60"/>
      <c r="AM48" s="57"/>
      <c r="AN48" s="59"/>
      <c r="AO48" s="57"/>
      <c r="AQ48" s="60"/>
      <c r="AR48" s="57"/>
      <c r="AS48" s="59"/>
      <c r="AT48" s="57"/>
      <c r="AV48" s="60"/>
      <c r="AW48" s="57"/>
      <c r="AX48" s="59"/>
      <c r="AY48" s="57"/>
      <c r="BB48" s="60"/>
      <c r="BC48" s="57"/>
      <c r="BD48" s="59"/>
      <c r="BE48" s="57"/>
      <c r="BG48" s="60"/>
      <c r="BH48" s="57"/>
      <c r="BI48" s="59"/>
      <c r="BJ48" s="57"/>
      <c r="BL48" s="60"/>
      <c r="BM48" s="57"/>
      <c r="BN48" s="59"/>
      <c r="BO48" s="57"/>
      <c r="BQ48" s="60"/>
      <c r="BR48" s="57"/>
      <c r="BS48" s="59"/>
      <c r="BT48" s="57"/>
      <c r="BV48" s="60"/>
      <c r="BW48" s="57"/>
      <c r="BX48" s="59"/>
      <c r="BY48" s="57"/>
      <c r="CA48" s="60"/>
      <c r="CB48" s="57"/>
      <c r="CC48" s="59"/>
      <c r="CD48" s="57"/>
      <c r="CF48" s="60"/>
      <c r="CG48" s="57"/>
      <c r="CH48" s="59"/>
      <c r="CI48" s="57"/>
      <c r="CK48" s="60"/>
      <c r="CL48" s="57"/>
      <c r="CM48" s="59"/>
      <c r="CN48" s="57"/>
    </row>
    <row r="49" spans="8:92" ht="12.75">
      <c r="H49" s="71">
        <f>N4</f>
        <v>0.008136574074074074</v>
      </c>
      <c r="K49" s="57"/>
      <c r="L49" s="48"/>
      <c r="N49" s="57"/>
      <c r="O49" s="59"/>
      <c r="P49" s="57"/>
      <c r="Q49" s="125"/>
      <c r="R49" s="128"/>
      <c r="S49" s="125"/>
      <c r="T49" s="127"/>
      <c r="U49" s="57"/>
      <c r="W49" s="60"/>
      <c r="X49" s="57"/>
      <c r="Y49" s="59"/>
      <c r="Z49" s="57"/>
      <c r="AB49" s="60"/>
      <c r="AC49" s="57"/>
      <c r="AD49" s="59"/>
      <c r="AE49" s="57"/>
      <c r="AG49" s="60"/>
      <c r="AH49" s="57"/>
      <c r="AI49" s="59"/>
      <c r="AJ49" s="57"/>
      <c r="AL49" s="60"/>
      <c r="AM49" s="57"/>
      <c r="AN49" s="59"/>
      <c r="AO49" s="57"/>
      <c r="AQ49" s="60"/>
      <c r="AR49" s="57"/>
      <c r="AS49" s="59"/>
      <c r="AT49" s="57"/>
      <c r="AV49" s="60"/>
      <c r="AW49" s="57"/>
      <c r="AX49" s="59"/>
      <c r="AY49" s="57"/>
      <c r="BB49" s="60"/>
      <c r="BC49" s="57"/>
      <c r="BD49" s="59"/>
      <c r="BE49" s="57"/>
      <c r="BG49" s="60"/>
      <c r="BH49" s="57"/>
      <c r="BI49" s="59"/>
      <c r="BJ49" s="57"/>
      <c r="BL49" s="60"/>
      <c r="BM49" s="57"/>
      <c r="BN49" s="59"/>
      <c r="BO49" s="57"/>
      <c r="BQ49" s="60"/>
      <c r="BR49" s="57"/>
      <c r="BS49" s="59"/>
      <c r="BT49" s="57"/>
      <c r="BV49" s="60"/>
      <c r="BW49" s="57"/>
      <c r="BX49" s="59"/>
      <c r="BY49" s="57"/>
      <c r="CA49" s="60"/>
      <c r="CB49" s="57"/>
      <c r="CC49" s="59"/>
      <c r="CD49" s="57"/>
      <c r="CF49" s="60"/>
      <c r="CG49" s="57"/>
      <c r="CH49" s="59"/>
      <c r="CI49" s="57"/>
      <c r="CK49" s="60"/>
      <c r="CL49" s="57"/>
      <c r="CM49" s="59"/>
      <c r="CN49" s="57"/>
    </row>
    <row r="50" spans="8:92" ht="12.75">
      <c r="H50" s="71">
        <f>N5</f>
        <v>0.008055555555555555</v>
      </c>
      <c r="K50" s="57"/>
      <c r="L50" s="48"/>
      <c r="N50" s="57"/>
      <c r="O50" s="59"/>
      <c r="P50" s="57"/>
      <c r="Q50" s="125"/>
      <c r="R50" s="128"/>
      <c r="S50" s="125"/>
      <c r="T50" s="127"/>
      <c r="U50" s="57"/>
      <c r="W50" s="60"/>
      <c r="X50" s="57"/>
      <c r="Y50" s="59"/>
      <c r="Z50" s="57"/>
      <c r="AB50" s="60"/>
      <c r="AC50" s="57"/>
      <c r="AD50" s="59"/>
      <c r="AE50" s="57"/>
      <c r="AG50" s="60"/>
      <c r="AH50" s="57"/>
      <c r="AI50" s="59"/>
      <c r="AJ50" s="57"/>
      <c r="AL50" s="60"/>
      <c r="AM50" s="57"/>
      <c r="AN50" s="59"/>
      <c r="AO50" s="57"/>
      <c r="AQ50" s="60"/>
      <c r="AR50" s="57"/>
      <c r="AS50" s="59"/>
      <c r="AT50" s="57"/>
      <c r="AV50" s="60"/>
      <c r="AW50" s="57"/>
      <c r="AX50" s="59"/>
      <c r="AY50" s="57"/>
      <c r="BB50" s="60"/>
      <c r="BC50" s="57"/>
      <c r="BD50" s="59"/>
      <c r="BE50" s="57"/>
      <c r="BG50" s="60"/>
      <c r="BH50" s="57"/>
      <c r="BI50" s="59"/>
      <c r="BJ50" s="57"/>
      <c r="BL50" s="60"/>
      <c r="BM50" s="57"/>
      <c r="BN50" s="59"/>
      <c r="BO50" s="57"/>
      <c r="BQ50" s="60"/>
      <c r="BR50" s="57"/>
      <c r="BS50" s="59"/>
      <c r="BT50" s="57"/>
      <c r="BV50" s="60"/>
      <c r="BW50" s="57"/>
      <c r="BX50" s="59"/>
      <c r="BY50" s="57"/>
      <c r="CA50" s="60"/>
      <c r="CB50" s="57"/>
      <c r="CC50" s="59"/>
      <c r="CD50" s="57"/>
      <c r="CF50" s="60"/>
      <c r="CG50" s="57"/>
      <c r="CH50" s="59"/>
      <c r="CI50" s="57"/>
      <c r="CK50" s="60"/>
      <c r="CL50" s="57"/>
      <c r="CM50" s="59"/>
      <c r="CN50" s="57"/>
    </row>
    <row r="51" spans="8:92" ht="12.75">
      <c r="H51" s="71">
        <f>N6</f>
        <v>0.0078125</v>
      </c>
      <c r="K51" s="57"/>
      <c r="N51" s="57"/>
      <c r="O51" s="59"/>
      <c r="P51" s="57"/>
      <c r="Q51" s="125"/>
      <c r="R51" s="128"/>
      <c r="S51" s="125"/>
      <c r="T51" s="127"/>
      <c r="U51" s="57"/>
      <c r="W51" s="60"/>
      <c r="X51" s="57"/>
      <c r="Y51" s="59"/>
      <c r="Z51" s="57"/>
      <c r="AB51" s="60"/>
      <c r="AC51" s="57"/>
      <c r="AD51" s="59"/>
      <c r="AE51" s="57"/>
      <c r="AG51" s="60"/>
      <c r="AH51" s="57"/>
      <c r="AI51" s="59"/>
      <c r="AJ51" s="57"/>
      <c r="AL51" s="60"/>
      <c r="AM51" s="57"/>
      <c r="AN51" s="59"/>
      <c r="AO51" s="57"/>
      <c r="AQ51" s="60"/>
      <c r="AR51" s="57"/>
      <c r="AS51" s="59"/>
      <c r="AT51" s="57"/>
      <c r="AV51" s="60"/>
      <c r="AW51" s="57"/>
      <c r="AX51" s="59"/>
      <c r="AY51" s="57"/>
      <c r="BB51" s="60"/>
      <c r="BC51" s="57"/>
      <c r="BD51" s="59"/>
      <c r="BE51" s="57"/>
      <c r="BG51" s="60"/>
      <c r="BH51" s="57"/>
      <c r="BI51" s="59"/>
      <c r="BJ51" s="57"/>
      <c r="BL51" s="60"/>
      <c r="BM51" s="57"/>
      <c r="BN51" s="59"/>
      <c r="BO51" s="57"/>
      <c r="BQ51" s="60"/>
      <c r="BR51" s="57"/>
      <c r="BS51" s="59"/>
      <c r="BT51" s="57"/>
      <c r="BV51" s="60"/>
      <c r="BW51" s="57"/>
      <c r="BX51" s="59"/>
      <c r="BY51" s="57"/>
      <c r="CA51" s="60"/>
      <c r="CB51" s="57"/>
      <c r="CC51" s="59"/>
      <c r="CD51" s="57"/>
      <c r="CF51" s="60"/>
      <c r="CG51" s="57"/>
      <c r="CH51" s="59"/>
      <c r="CI51" s="57"/>
      <c r="CK51" s="60"/>
      <c r="CL51" s="57"/>
      <c r="CM51" s="59"/>
      <c r="CN51" s="57"/>
    </row>
    <row r="52" spans="11:92" ht="12.75">
      <c r="K52" s="57"/>
      <c r="N52" s="57"/>
      <c r="O52" s="59"/>
      <c r="P52" s="57"/>
      <c r="Q52" s="125"/>
      <c r="R52" s="128"/>
      <c r="S52" s="125"/>
      <c r="T52" s="127"/>
      <c r="U52" s="57"/>
      <c r="W52" s="60"/>
      <c r="X52" s="57"/>
      <c r="Y52" s="59"/>
      <c r="Z52" s="57"/>
      <c r="AB52" s="60"/>
      <c r="AC52" s="57"/>
      <c r="AD52" s="59"/>
      <c r="AE52" s="57"/>
      <c r="AG52" s="60"/>
      <c r="AH52" s="57"/>
      <c r="AI52" s="59"/>
      <c r="AJ52" s="57"/>
      <c r="AL52" s="60"/>
      <c r="AM52" s="57"/>
      <c r="AN52" s="59"/>
      <c r="AO52" s="57"/>
      <c r="AQ52" s="60"/>
      <c r="AR52" s="57"/>
      <c r="AS52" s="59"/>
      <c r="AT52" s="57"/>
      <c r="AV52" s="60"/>
      <c r="AW52" s="57"/>
      <c r="AX52" s="59"/>
      <c r="AY52" s="57"/>
      <c r="BB52" s="60"/>
      <c r="BC52" s="57"/>
      <c r="BD52" s="59"/>
      <c r="BE52" s="57"/>
      <c r="BG52" s="60"/>
      <c r="BH52" s="57"/>
      <c r="BI52" s="59"/>
      <c r="BJ52" s="57"/>
      <c r="BL52" s="60"/>
      <c r="BM52" s="57"/>
      <c r="BN52" s="59"/>
      <c r="BO52" s="57"/>
      <c r="BQ52" s="60"/>
      <c r="BR52" s="57"/>
      <c r="BS52" s="59"/>
      <c r="BT52" s="57"/>
      <c r="BV52" s="60"/>
      <c r="BW52" s="57"/>
      <c r="BX52" s="59"/>
      <c r="BY52" s="57"/>
      <c r="CA52" s="60"/>
      <c r="CB52" s="57"/>
      <c r="CC52" s="59"/>
      <c r="CD52" s="57"/>
      <c r="CF52" s="60"/>
      <c r="CG52" s="57"/>
      <c r="CH52" s="59"/>
      <c r="CI52" s="57"/>
      <c r="CK52" s="60"/>
      <c r="CL52" s="57"/>
      <c r="CM52" s="59"/>
      <c r="CN52" s="57"/>
    </row>
    <row r="53" spans="11:92" ht="12.75">
      <c r="K53" s="57"/>
      <c r="N53" s="57"/>
      <c r="O53" s="59"/>
      <c r="P53" s="57"/>
      <c r="Q53" s="125"/>
      <c r="R53" s="128"/>
      <c r="S53" s="125"/>
      <c r="T53" s="127"/>
      <c r="U53" s="57"/>
      <c r="W53" s="60"/>
      <c r="X53" s="57"/>
      <c r="Y53" s="59"/>
      <c r="Z53" s="57"/>
      <c r="AB53" s="60"/>
      <c r="AC53" s="57"/>
      <c r="AD53" s="59"/>
      <c r="AE53" s="57"/>
      <c r="AG53" s="60"/>
      <c r="AH53" s="57"/>
      <c r="AI53" s="59"/>
      <c r="AJ53" s="57"/>
      <c r="AL53" s="60"/>
      <c r="AM53" s="57"/>
      <c r="AN53" s="59"/>
      <c r="AO53" s="57"/>
      <c r="AQ53" s="60"/>
      <c r="AR53" s="57"/>
      <c r="AS53" s="59"/>
      <c r="AT53" s="57"/>
      <c r="AV53" s="60"/>
      <c r="AW53" s="57"/>
      <c r="AX53" s="59"/>
      <c r="AY53" s="57"/>
      <c r="BB53" s="60"/>
      <c r="BC53" s="57"/>
      <c r="BD53" s="59"/>
      <c r="BE53" s="57"/>
      <c r="BG53" s="60"/>
      <c r="BH53" s="57"/>
      <c r="BI53" s="59"/>
      <c r="BJ53" s="57"/>
      <c r="BL53" s="60"/>
      <c r="BM53" s="57"/>
      <c r="BN53" s="59"/>
      <c r="BO53" s="57"/>
      <c r="BQ53" s="60"/>
      <c r="BR53" s="57"/>
      <c r="BS53" s="59"/>
      <c r="BT53" s="57"/>
      <c r="BV53" s="60"/>
      <c r="BW53" s="57"/>
      <c r="BX53" s="59"/>
      <c r="BY53" s="57"/>
      <c r="CA53" s="60"/>
      <c r="CB53" s="57"/>
      <c r="CC53" s="59"/>
      <c r="CD53" s="57"/>
      <c r="CF53" s="60"/>
      <c r="CG53" s="57"/>
      <c r="CH53" s="59"/>
      <c r="CI53" s="57"/>
      <c r="CK53" s="60"/>
      <c r="CL53" s="57"/>
      <c r="CM53" s="59"/>
      <c r="CN53" s="57"/>
    </row>
    <row r="54" spans="11:92" ht="12.75">
      <c r="K54" s="57"/>
      <c r="N54" s="57"/>
      <c r="O54" s="59"/>
      <c r="P54" s="57"/>
      <c r="Q54" s="125"/>
      <c r="R54" s="128"/>
      <c r="S54" s="125"/>
      <c r="T54" s="127"/>
      <c r="U54" s="57"/>
      <c r="W54" s="60"/>
      <c r="X54" s="57"/>
      <c r="Y54" s="59"/>
      <c r="Z54" s="57"/>
      <c r="AB54" s="60"/>
      <c r="AC54" s="57"/>
      <c r="AD54" s="59"/>
      <c r="AE54" s="57"/>
      <c r="AG54" s="60"/>
      <c r="AH54" s="57"/>
      <c r="AI54" s="59"/>
      <c r="AJ54" s="57"/>
      <c r="AL54" s="60"/>
      <c r="AM54" s="57"/>
      <c r="AN54" s="59"/>
      <c r="AO54" s="57"/>
      <c r="AQ54" s="60"/>
      <c r="AR54" s="57"/>
      <c r="AS54" s="59"/>
      <c r="AT54" s="57"/>
      <c r="AV54" s="60"/>
      <c r="AW54" s="57"/>
      <c r="AX54" s="59"/>
      <c r="AY54" s="57"/>
      <c r="BB54" s="60"/>
      <c r="BC54" s="57"/>
      <c r="BD54" s="59"/>
      <c r="BE54" s="57"/>
      <c r="BG54" s="60"/>
      <c r="BH54" s="57"/>
      <c r="BI54" s="59"/>
      <c r="BJ54" s="57"/>
      <c r="BL54" s="60"/>
      <c r="BM54" s="57"/>
      <c r="BN54" s="59"/>
      <c r="BO54" s="57"/>
      <c r="BQ54" s="60"/>
      <c r="BR54" s="57"/>
      <c r="BS54" s="59"/>
      <c r="BT54" s="57"/>
      <c r="BV54" s="60"/>
      <c r="BW54" s="57"/>
      <c r="BX54" s="59"/>
      <c r="BY54" s="57"/>
      <c r="CA54" s="60"/>
      <c r="CB54" s="57"/>
      <c r="CC54" s="59"/>
      <c r="CD54" s="57"/>
      <c r="CF54" s="60"/>
      <c r="CG54" s="57"/>
      <c r="CH54" s="59"/>
      <c r="CI54" s="57"/>
      <c r="CK54" s="60"/>
      <c r="CL54" s="57"/>
      <c r="CM54" s="59"/>
      <c r="CN54" s="57"/>
    </row>
    <row r="55" spans="11:92" ht="12.75">
      <c r="K55" s="57"/>
      <c r="N55" s="57"/>
      <c r="O55" s="59"/>
      <c r="P55" s="57"/>
      <c r="Q55" s="125"/>
      <c r="R55" s="128"/>
      <c r="S55" s="125"/>
      <c r="T55" s="127"/>
      <c r="U55" s="57"/>
      <c r="W55" s="60"/>
      <c r="X55" s="57"/>
      <c r="Y55" s="59"/>
      <c r="Z55" s="57"/>
      <c r="AB55" s="60"/>
      <c r="AC55" s="57"/>
      <c r="AD55" s="59"/>
      <c r="AE55" s="57"/>
      <c r="AG55" s="60"/>
      <c r="AH55" s="57"/>
      <c r="AI55" s="59"/>
      <c r="AJ55" s="57"/>
      <c r="AL55" s="60"/>
      <c r="AM55" s="57"/>
      <c r="AN55" s="59"/>
      <c r="AO55" s="57"/>
      <c r="AQ55" s="60"/>
      <c r="AR55" s="57"/>
      <c r="AS55" s="59"/>
      <c r="AT55" s="57"/>
      <c r="AV55" s="60"/>
      <c r="AW55" s="57"/>
      <c r="AX55" s="59"/>
      <c r="AY55" s="57"/>
      <c r="BB55" s="60"/>
      <c r="BC55" s="57"/>
      <c r="BD55" s="59"/>
      <c r="BE55" s="57"/>
      <c r="BG55" s="60"/>
      <c r="BH55" s="57"/>
      <c r="BI55" s="59"/>
      <c r="BJ55" s="57"/>
      <c r="BL55" s="60"/>
      <c r="BM55" s="57"/>
      <c r="BN55" s="59"/>
      <c r="BO55" s="57"/>
      <c r="BQ55" s="60"/>
      <c r="BR55" s="57"/>
      <c r="BS55" s="59"/>
      <c r="BT55" s="57"/>
      <c r="BV55" s="60"/>
      <c r="BW55" s="57"/>
      <c r="BX55" s="59"/>
      <c r="BY55" s="57"/>
      <c r="CA55" s="60"/>
      <c r="CB55" s="57"/>
      <c r="CC55" s="59"/>
      <c r="CD55" s="57"/>
      <c r="CF55" s="60"/>
      <c r="CG55" s="57"/>
      <c r="CH55" s="59"/>
      <c r="CI55" s="57"/>
      <c r="CK55" s="60"/>
      <c r="CL55" s="57"/>
      <c r="CM55" s="59"/>
      <c r="CN55" s="57"/>
    </row>
    <row r="57" ht="12.75">
      <c r="H57" s="62" t="s">
        <v>58</v>
      </c>
    </row>
    <row r="58" ht="12.75">
      <c r="H58" s="71">
        <f>I10</f>
        <v>0.007962962962962963</v>
      </c>
    </row>
    <row r="59" ht="12.75">
      <c r="H59" s="71">
        <f>I11</f>
        <v>0.008101851851851851</v>
      </c>
    </row>
    <row r="60" ht="12.75">
      <c r="H60" s="71">
        <f>I12</f>
        <v>0.007986111111111112</v>
      </c>
    </row>
    <row r="61" ht="12.75">
      <c r="H61" s="71">
        <f>N10</f>
        <v>0.008055555555555555</v>
      </c>
    </row>
    <row r="62" ht="12.75">
      <c r="H62" s="71">
        <f>N11</f>
        <v>0.009363425925925926</v>
      </c>
    </row>
    <row r="63" ht="12.75">
      <c r="H63" s="71">
        <f>N12</f>
        <v>0.008148148148148147</v>
      </c>
    </row>
  </sheetData>
  <sheetProtection/>
  <dataValidations count="3">
    <dataValidation type="list" allowBlank="1" showInputMessage="1" showErrorMessage="1" sqref="AQ10 AG10 AV4 AB10 AB4 H10 AL10 AQ4 W4 W10 M4 AL4 M10 AV10 H4 AG4">
      <formula1>$B$20:$E$20</formula1>
    </dataValidation>
    <dataValidation type="list" allowBlank="1" showInputMessage="1" showErrorMessage="1" sqref="AV11 AV5 AG11 AB11 H11 M11 AL11 AQ5 AB5 W11 W5 M5 H5 AL5 AQ11 AG5">
      <formula1>$B$21:$E$21</formula1>
    </dataValidation>
    <dataValidation type="list" allowBlank="1" showInputMessage="1" showErrorMessage="1" sqref="AG12 AV6 AL12 AB12 H12 AQ6 M12 AB6 W6 AQ12 W12 M6 H6 AL6 AV12 AG6">
      <formula1>$B$22:$E$22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BL47" sqref="BL47:BL48"/>
    </sheetView>
  </sheetViews>
  <sheetFormatPr defaultColWidth="9.140625" defaultRowHeight="12.75"/>
  <cols>
    <col min="1" max="1" width="24.140625" style="36" customWidth="1"/>
    <col min="2" max="2" width="32.7109375" style="88" customWidth="1"/>
    <col min="3" max="3" width="6.7109375" style="36" customWidth="1"/>
    <col min="4" max="4" width="10.140625" style="36" bestFit="1" customWidth="1"/>
    <col min="5" max="5" width="15.7109375" style="88" customWidth="1"/>
    <col min="6" max="6" width="6.7109375" style="36" customWidth="1"/>
    <col min="7" max="7" width="10.140625" style="36" bestFit="1" customWidth="1"/>
    <col min="8" max="8" width="15.7109375" style="88" customWidth="1"/>
    <col min="9" max="9" width="6.7109375" style="36" customWidth="1"/>
    <col min="10" max="10" width="10.140625" style="36" bestFit="1" customWidth="1"/>
    <col min="11" max="11" width="15.7109375" style="88" customWidth="1"/>
    <col min="12" max="12" width="6.7109375" style="36" customWidth="1"/>
    <col min="13" max="13" width="10.140625" style="36" bestFit="1" customWidth="1"/>
    <col min="14" max="14" width="15.7109375" style="88" customWidth="1"/>
    <col min="15" max="15" width="6.7109375" style="36" customWidth="1"/>
    <col min="16" max="16" width="10.140625" style="36" bestFit="1" customWidth="1"/>
    <col min="17" max="17" width="15.7109375" style="88" customWidth="1"/>
    <col min="18" max="18" width="6.7109375" style="36" customWidth="1"/>
    <col min="19" max="19" width="10.140625" style="36" bestFit="1" customWidth="1"/>
    <col min="20" max="20" width="15.7109375" style="88" customWidth="1"/>
    <col min="21" max="21" width="6.7109375" style="36" customWidth="1"/>
    <col min="22" max="22" width="10.140625" style="36" bestFit="1" customWidth="1"/>
    <col min="23" max="23" width="23.421875" style="36" customWidth="1"/>
    <col min="24" max="24" width="8.7109375" style="36" customWidth="1"/>
    <col min="25" max="25" width="10.7109375" style="36" customWidth="1"/>
    <col min="26" max="26" width="32.7109375" style="88" customWidth="1"/>
    <col min="27" max="27" width="6.7109375" style="36" customWidth="1"/>
    <col min="28" max="28" width="10.140625" style="36" bestFit="1" customWidth="1"/>
    <col min="29" max="29" width="15.7109375" style="88" customWidth="1"/>
    <col min="30" max="30" width="6.7109375" style="36" customWidth="1"/>
    <col min="31" max="31" width="10.140625" style="36" bestFit="1" customWidth="1"/>
    <col min="32" max="32" width="15.7109375" style="88" customWidth="1"/>
    <col min="33" max="33" width="6.7109375" style="36" customWidth="1"/>
    <col min="34" max="34" width="10.140625" style="36" bestFit="1" customWidth="1"/>
    <col min="35" max="35" width="15.7109375" style="88" customWidth="1"/>
    <col min="36" max="36" width="6.7109375" style="36" customWidth="1"/>
    <col min="37" max="37" width="10.140625" style="36" bestFit="1" customWidth="1"/>
    <col min="38" max="38" width="15.7109375" style="88" customWidth="1"/>
    <col min="39" max="39" width="6.7109375" style="36" customWidth="1"/>
    <col min="40" max="40" width="10.140625" style="36" bestFit="1" customWidth="1"/>
    <col min="41" max="41" width="15.7109375" style="88" customWidth="1"/>
    <col min="42" max="42" width="6.7109375" style="36" customWidth="1"/>
    <col min="43" max="43" width="10.140625" style="36" bestFit="1" customWidth="1"/>
    <col min="44" max="44" width="15.7109375" style="88" customWidth="1"/>
    <col min="45" max="45" width="6.7109375" style="36" customWidth="1"/>
    <col min="46" max="46" width="10.140625" style="36" bestFit="1" customWidth="1"/>
    <col min="47" max="47" width="23.421875" style="36" customWidth="1"/>
    <col min="48" max="48" width="8.7109375" style="36" customWidth="1"/>
    <col min="49" max="49" width="10.7109375" style="36" customWidth="1"/>
    <col min="50" max="50" width="52.140625" style="105" customWidth="1"/>
    <col min="51" max="51" width="16.00390625" style="105" customWidth="1"/>
    <col min="52" max="65" width="9.140625" style="105" customWidth="1"/>
    <col min="66" max="16384" width="9.140625" style="36" customWidth="1"/>
  </cols>
  <sheetData>
    <row r="2" spans="2:49" ht="12.75">
      <c r="B2" s="96" t="s">
        <v>5</v>
      </c>
      <c r="C2" s="97"/>
      <c r="D2" s="98"/>
      <c r="E2" s="96" t="s">
        <v>12</v>
      </c>
      <c r="F2" s="97"/>
      <c r="G2" s="98"/>
      <c r="H2" s="96" t="s">
        <v>13</v>
      </c>
      <c r="I2" s="97"/>
      <c r="J2" s="98"/>
      <c r="K2" s="96" t="s">
        <v>14</v>
      </c>
      <c r="L2" s="97"/>
      <c r="M2" s="98"/>
      <c r="N2" s="96" t="s">
        <v>15</v>
      </c>
      <c r="O2" s="97"/>
      <c r="P2" s="98"/>
      <c r="Q2" s="96" t="s">
        <v>16</v>
      </c>
      <c r="R2" s="97"/>
      <c r="S2" s="98"/>
      <c r="T2" s="96" t="s">
        <v>17</v>
      </c>
      <c r="U2" s="97"/>
      <c r="V2" s="98"/>
      <c r="W2" s="96" t="s">
        <v>60</v>
      </c>
      <c r="X2" s="96"/>
      <c r="Y2" s="156"/>
      <c r="Z2" s="96" t="s">
        <v>18</v>
      </c>
      <c r="AA2" s="97"/>
      <c r="AB2" s="98"/>
      <c r="AC2" s="96" t="s">
        <v>21</v>
      </c>
      <c r="AD2" s="97"/>
      <c r="AE2" s="98"/>
      <c r="AF2" s="96" t="s">
        <v>22</v>
      </c>
      <c r="AG2" s="97"/>
      <c r="AH2" s="98"/>
      <c r="AI2" s="96" t="s">
        <v>23</v>
      </c>
      <c r="AJ2" s="97"/>
      <c r="AK2" s="98"/>
      <c r="AL2" s="96" t="s">
        <v>24</v>
      </c>
      <c r="AM2" s="97"/>
      <c r="AN2" s="98"/>
      <c r="AO2" s="96" t="s">
        <v>25</v>
      </c>
      <c r="AP2" s="97"/>
      <c r="AQ2" s="98"/>
      <c r="AR2" s="96" t="s">
        <v>26</v>
      </c>
      <c r="AS2" s="97"/>
      <c r="AT2" s="98"/>
      <c r="AU2" s="96" t="s">
        <v>60</v>
      </c>
      <c r="AV2" s="96"/>
      <c r="AW2" s="156"/>
    </row>
    <row r="3" spans="1:65" s="38" customFormat="1" ht="19.5" customHeight="1">
      <c r="A3" s="89" t="s">
        <v>0</v>
      </c>
      <c r="B3" s="90" t="s">
        <v>6</v>
      </c>
      <c r="C3" s="91" t="s">
        <v>7</v>
      </c>
      <c r="D3" s="92" t="s">
        <v>41</v>
      </c>
      <c r="E3" s="93" t="s">
        <v>6</v>
      </c>
      <c r="F3" s="94" t="s">
        <v>7</v>
      </c>
      <c r="G3" s="95" t="s">
        <v>41</v>
      </c>
      <c r="H3" s="93" t="s">
        <v>6</v>
      </c>
      <c r="I3" s="94" t="s">
        <v>7</v>
      </c>
      <c r="J3" s="95" t="s">
        <v>41</v>
      </c>
      <c r="K3" s="93" t="s">
        <v>6</v>
      </c>
      <c r="L3" s="94" t="s">
        <v>7</v>
      </c>
      <c r="M3" s="95" t="s">
        <v>41</v>
      </c>
      <c r="N3" s="93" t="s">
        <v>6</v>
      </c>
      <c r="O3" s="94" t="s">
        <v>7</v>
      </c>
      <c r="P3" s="95" t="s">
        <v>41</v>
      </c>
      <c r="Q3" s="93" t="s">
        <v>6</v>
      </c>
      <c r="R3" s="94" t="s">
        <v>7</v>
      </c>
      <c r="S3" s="95" t="s">
        <v>41</v>
      </c>
      <c r="T3" s="93" t="s">
        <v>6</v>
      </c>
      <c r="U3" s="94" t="s">
        <v>7</v>
      </c>
      <c r="V3" s="95" t="s">
        <v>41</v>
      </c>
      <c r="W3" s="95" t="s">
        <v>61</v>
      </c>
      <c r="X3" s="95" t="s">
        <v>7</v>
      </c>
      <c r="Y3" s="95" t="s">
        <v>41</v>
      </c>
      <c r="Z3" s="93" t="s">
        <v>6</v>
      </c>
      <c r="AA3" s="94" t="s">
        <v>7</v>
      </c>
      <c r="AB3" s="95" t="s">
        <v>41</v>
      </c>
      <c r="AC3" s="93" t="s">
        <v>6</v>
      </c>
      <c r="AD3" s="94" t="s">
        <v>7</v>
      </c>
      <c r="AE3" s="95" t="s">
        <v>41</v>
      </c>
      <c r="AF3" s="93" t="s">
        <v>6</v>
      </c>
      <c r="AG3" s="94" t="s">
        <v>7</v>
      </c>
      <c r="AH3" s="95" t="s">
        <v>41</v>
      </c>
      <c r="AI3" s="93" t="s">
        <v>6</v>
      </c>
      <c r="AJ3" s="94" t="s">
        <v>7</v>
      </c>
      <c r="AK3" s="95" t="s">
        <v>41</v>
      </c>
      <c r="AL3" s="93" t="s">
        <v>6</v>
      </c>
      <c r="AM3" s="94" t="s">
        <v>7</v>
      </c>
      <c r="AN3" s="95" t="s">
        <v>41</v>
      </c>
      <c r="AO3" s="93" t="s">
        <v>6</v>
      </c>
      <c r="AP3" s="94" t="s">
        <v>7</v>
      </c>
      <c r="AQ3" s="95" t="s">
        <v>41</v>
      </c>
      <c r="AR3" s="93" t="s">
        <v>6</v>
      </c>
      <c r="AS3" s="94" t="s">
        <v>7</v>
      </c>
      <c r="AT3" s="95" t="s">
        <v>41</v>
      </c>
      <c r="AU3" s="95" t="s">
        <v>61</v>
      </c>
      <c r="AV3" s="95" t="s">
        <v>7</v>
      </c>
      <c r="AW3" s="95" t="s">
        <v>41</v>
      </c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</row>
    <row r="4" spans="1:65" s="38" customFormat="1" ht="19.5" customHeight="1">
      <c r="A4" s="84" t="str">
        <f>'Team Selection'!B3</f>
        <v>Status Quo</v>
      </c>
      <c r="B4" s="85" t="str">
        <f>'Stage  Entry'!R4</f>
        <v>Andrew Coles &amp; Katie Seibold</v>
      </c>
      <c r="C4" s="86">
        <f>'Stage  Entry'!S4</f>
        <v>0.01574074074074074</v>
      </c>
      <c r="D4" s="87">
        <f>C4</f>
        <v>0.01574074074074074</v>
      </c>
      <c r="E4" s="85" t="str">
        <f>'Stage  Entry'!W4</f>
        <v>Dale Nardella</v>
      </c>
      <c r="F4" s="86">
        <f>'Stage  Entry'!X4</f>
        <v>0.009340277777777777</v>
      </c>
      <c r="G4" s="87">
        <f>D4+F4</f>
        <v>0.025081018518518516</v>
      </c>
      <c r="H4" s="85" t="str">
        <f>'Stage  Entry'!AB4</f>
        <v>Tony Hally</v>
      </c>
      <c r="I4" s="86">
        <f>'Stage  Entry'!AC4</f>
        <v>0.01074074074074074</v>
      </c>
      <c r="J4" s="87">
        <f>G4+I4</f>
        <v>0.035821759259259255</v>
      </c>
      <c r="K4" s="85" t="str">
        <f>'Stage  Entry'!AG4</f>
        <v>Katie Seibold</v>
      </c>
      <c r="L4" s="86">
        <f>'Stage  Entry'!AH4</f>
        <v>0.011076388888888887</v>
      </c>
      <c r="M4" s="87">
        <f>J4+L4</f>
        <v>0.04689814814814814</v>
      </c>
      <c r="N4" s="85" t="str">
        <f>'Stage  Entry'!AL4</f>
        <v>Andrew Coles</v>
      </c>
      <c r="O4" s="86">
        <f>'Stage  Entry'!AM4</f>
        <v>0.01019675925925926</v>
      </c>
      <c r="P4" s="87">
        <f>M4+O4</f>
        <v>0.0570949074074074</v>
      </c>
      <c r="Q4" s="85" t="str">
        <f>'Stage  Entry'!AQ4</f>
        <v>Dale Nardella</v>
      </c>
      <c r="R4" s="86">
        <f>'Stage  Entry'!AR4</f>
        <v>0.008657407407407407</v>
      </c>
      <c r="S4" s="87">
        <f>P4+R4</f>
        <v>0.0657523148148148</v>
      </c>
      <c r="T4" s="85" t="str">
        <f>'Stage  Entry'!AV4</f>
        <v>Tony Hally</v>
      </c>
      <c r="U4" s="86">
        <f>'Stage  Entry'!AW4</f>
        <v>0.00949074074074074</v>
      </c>
      <c r="V4" s="87">
        <f>S4+U4</f>
        <v>0.07524305555555555</v>
      </c>
      <c r="W4" s="85">
        <f>+'Stage  Entry'!BB4</f>
        <v>0</v>
      </c>
      <c r="X4" s="86">
        <f>+'Stage  Entry'!BC4</f>
        <v>0</v>
      </c>
      <c r="Y4" s="87">
        <f>V4+X4</f>
        <v>0.07524305555555555</v>
      </c>
      <c r="Z4" s="85" t="str">
        <f>'Stage  Entry'!R10</f>
        <v>Tony Hally &amp; Dale Nardella</v>
      </c>
      <c r="AA4" s="86">
        <f>'Stage  Entry'!S10</f>
        <v>0.01601851851851852</v>
      </c>
      <c r="AB4" s="87">
        <f>Y4+AA4</f>
        <v>0.09126157407407406</v>
      </c>
      <c r="AC4" s="85" t="str">
        <f>'Stage  Entry'!W10</f>
        <v>Katie Seibold</v>
      </c>
      <c r="AD4" s="86">
        <f>'Stage  Entry'!X10</f>
        <v>0.010868055555555556</v>
      </c>
      <c r="AE4" s="87">
        <f>AB4+AD4</f>
        <v>0.10212962962962963</v>
      </c>
      <c r="AF4" s="85" t="str">
        <f>'Stage  Entry'!AB10</f>
        <v>Andrew Coles</v>
      </c>
      <c r="AG4" s="86">
        <f>'Stage  Entry'!AC10</f>
        <v>0.010266203703703703</v>
      </c>
      <c r="AH4" s="87">
        <f>AE4+AG4</f>
        <v>0.11239583333333333</v>
      </c>
      <c r="AI4" s="85" t="str">
        <f>'Stage  Entry'!AG10</f>
        <v>Tony Hally</v>
      </c>
      <c r="AJ4" s="86">
        <f>'Stage  Entry'!AH10</f>
        <v>0.009421296296296296</v>
      </c>
      <c r="AK4" s="87">
        <f>AH4+AJ4</f>
        <v>0.12181712962962962</v>
      </c>
      <c r="AL4" s="85" t="str">
        <f>'Stage  Entry'!AL10</f>
        <v>Andrew Coles</v>
      </c>
      <c r="AM4" s="86">
        <f>'Stage  Entry'!AM10</f>
        <v>0.009953703703703704</v>
      </c>
      <c r="AN4" s="87">
        <f>AK4+AM4</f>
        <v>0.13177083333333334</v>
      </c>
      <c r="AO4" s="85" t="str">
        <f>'Stage  Entry'!AQ10</f>
        <v>Katie Seibold</v>
      </c>
      <c r="AP4" s="86">
        <f>'Stage  Entry'!AR10</f>
        <v>0.011539351851851851</v>
      </c>
      <c r="AQ4" s="87">
        <f>AN4+AP4</f>
        <v>0.14331018518518518</v>
      </c>
      <c r="AR4" s="85" t="str">
        <f>'Stage  Entry'!AV10</f>
        <v>Dale Nardella</v>
      </c>
      <c r="AS4" s="86">
        <f>'Stage  Entry'!AW10</f>
        <v>0.009293981481481481</v>
      </c>
      <c r="AT4" s="87">
        <f>AQ4+AS4</f>
        <v>0.15260416666666665</v>
      </c>
      <c r="AU4" s="85">
        <f>+'Stage  Entry'!BB10</f>
        <v>0</v>
      </c>
      <c r="AV4" s="86">
        <f>+'Stage  Entry'!BC10</f>
        <v>0</v>
      </c>
      <c r="AW4" s="87">
        <f>AT4+AV4</f>
        <v>0.15260416666666665</v>
      </c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</row>
    <row r="5" spans="1:65" s="38" customFormat="1" ht="19.5" customHeight="1">
      <c r="A5" s="84" t="str">
        <f>'Team Selection'!B4</f>
        <v>Monumental Selection Error</v>
      </c>
      <c r="B5" s="85" t="str">
        <f>'Stage  Entry'!R5</f>
        <v>Stephen Paine &amp; Norval Hope</v>
      </c>
      <c r="C5" s="86">
        <f>'Stage  Entry'!S5</f>
        <v>0.015393518518518518</v>
      </c>
      <c r="D5" s="87">
        <f>C5</f>
        <v>0.015393518518518518</v>
      </c>
      <c r="E5" s="85" t="str">
        <f>'Stage  Entry'!W5</f>
        <v>John Hand</v>
      </c>
      <c r="F5" s="86">
        <f>'Stage  Entry'!X5</f>
        <v>0.010185185185185184</v>
      </c>
      <c r="G5" s="87">
        <f>D5+F5</f>
        <v>0.0255787037037037</v>
      </c>
      <c r="H5" s="85" t="str">
        <f>'Stage  Entry'!AB5</f>
        <v>Thai Phan</v>
      </c>
      <c r="I5" s="86">
        <f>'Stage  Entry'!AC5</f>
        <v>0.010868055555555556</v>
      </c>
      <c r="J5" s="87">
        <f>G5+I5</f>
        <v>0.036446759259259255</v>
      </c>
      <c r="K5" s="85" t="str">
        <f>'Stage  Entry'!AG5</f>
        <v>Norval Hope</v>
      </c>
      <c r="L5" s="86">
        <f>'Stage  Entry'!AH5</f>
        <v>0.011087962962962964</v>
      </c>
      <c r="M5" s="87">
        <f>J5+L5</f>
        <v>0.04753472222222222</v>
      </c>
      <c r="N5" s="85" t="str">
        <f>'Stage  Entry'!AL5</f>
        <v>Stephen Paine</v>
      </c>
      <c r="O5" s="86">
        <f>'Stage  Entry'!AM5</f>
        <v>0.010439814814814813</v>
      </c>
      <c r="P5" s="87">
        <f>M5+O5</f>
        <v>0.05797453703703703</v>
      </c>
      <c r="Q5" s="85" t="str">
        <f>'Stage  Entry'!AQ5</f>
        <v>John Hand</v>
      </c>
      <c r="R5" s="86">
        <f>'Stage  Entry'!AR5</f>
        <v>0.00912037037037037</v>
      </c>
      <c r="S5" s="87">
        <f>P5+R5</f>
        <v>0.06709490740740741</v>
      </c>
      <c r="T5" s="85" t="str">
        <f>'Stage  Entry'!AV5</f>
        <v>Thai Phan</v>
      </c>
      <c r="U5" s="86">
        <f>'Stage  Entry'!AW5</f>
        <v>0.009247685185185185</v>
      </c>
      <c r="V5" s="87">
        <f>S5+U5</f>
        <v>0.0763425925925926</v>
      </c>
      <c r="W5" s="85">
        <f>+'Stage  Entry'!BB5</f>
        <v>0</v>
      </c>
      <c r="X5" s="86">
        <f>+'Stage  Entry'!BC5</f>
        <v>0</v>
      </c>
      <c r="Y5" s="87">
        <f>V5+X5</f>
        <v>0.0763425925925926</v>
      </c>
      <c r="Z5" s="85" t="str">
        <f>'Stage  Entry'!R11</f>
        <v>Thai Phan &amp; John Hand</v>
      </c>
      <c r="AA5" s="86">
        <f>'Stage  Entry'!S11</f>
        <v>0.017465277777777777</v>
      </c>
      <c r="AB5" s="87">
        <f>Y5+AA5</f>
        <v>0.09380787037037037</v>
      </c>
      <c r="AC5" s="85" t="str">
        <f>'Stage  Entry'!W11</f>
        <v>Stephen Paine</v>
      </c>
      <c r="AD5" s="86">
        <f>'Stage  Entry'!X11</f>
        <v>0.009641203703703704</v>
      </c>
      <c r="AE5" s="87">
        <f>AB5+AD5</f>
        <v>0.10344907407407408</v>
      </c>
      <c r="AF5" s="85" t="str">
        <f>'Stage  Entry'!AB11</f>
        <v>Norval Hope</v>
      </c>
      <c r="AG5" s="86">
        <f>'Stage  Entry'!AC11</f>
        <v>0.011423611111111112</v>
      </c>
      <c r="AH5" s="87">
        <f>AE5+AG5</f>
        <v>0.11487268518518519</v>
      </c>
      <c r="AI5" s="85" t="str">
        <f>'Stage  Entry'!AG11</f>
        <v>Thai Phan</v>
      </c>
      <c r="AJ5" s="86">
        <f>'Stage  Entry'!AH11</f>
        <v>0.009780092592592592</v>
      </c>
      <c r="AK5" s="87">
        <f>AH5+AJ5</f>
        <v>0.12465277777777778</v>
      </c>
      <c r="AL5" s="85" t="str">
        <f>'Stage  Entry'!AL11</f>
        <v>Stephen Paine</v>
      </c>
      <c r="AM5" s="86">
        <f>'Stage  Entry'!AM11</f>
        <v>0.010347222222222223</v>
      </c>
      <c r="AN5" s="87">
        <f>AK5+AM5</f>
        <v>0.135</v>
      </c>
      <c r="AO5" s="85" t="str">
        <f>'Stage  Entry'!AQ11</f>
        <v>Norval Hope</v>
      </c>
      <c r="AP5" s="86">
        <f>'Stage  Entry'!AR11</f>
        <v>0.011782407407407406</v>
      </c>
      <c r="AQ5" s="87">
        <f>AN5+AP5</f>
        <v>0.14678240740740742</v>
      </c>
      <c r="AR5" s="85" t="str">
        <f>'Stage  Entry'!AV11</f>
        <v>John Hand</v>
      </c>
      <c r="AS5" s="86">
        <f>'Stage  Entry'!AW11</f>
        <v>0.012037037037037035</v>
      </c>
      <c r="AT5" s="87">
        <f>AQ5+AS5</f>
        <v>0.15881944444444446</v>
      </c>
      <c r="AU5" s="85">
        <f>+'Stage  Entry'!BB11</f>
        <v>0</v>
      </c>
      <c r="AV5" s="86">
        <f>+'Stage  Entry'!BC11</f>
        <v>0</v>
      </c>
      <c r="AW5" s="87">
        <f>AT5+AV5</f>
        <v>0.15881944444444446</v>
      </c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</row>
    <row r="6" spans="1:65" s="38" customFormat="1" ht="19.5" customHeight="1">
      <c r="A6" s="84" t="str">
        <f>'Team Selection'!B5</f>
        <v>Where's Our Captain?</v>
      </c>
      <c r="B6" s="85" t="str">
        <f>'Stage  Entry'!R6</f>
        <v>David Venour &amp; John Charles</v>
      </c>
      <c r="C6" s="86">
        <f>'Stage  Entry'!S6</f>
        <v>0.01569444444444444</v>
      </c>
      <c r="D6" s="87">
        <f>C6</f>
        <v>0.01569444444444444</v>
      </c>
      <c r="E6" s="85" t="str">
        <f>'Stage  Entry'!W6</f>
        <v>Rory Heddles</v>
      </c>
      <c r="F6" s="86">
        <f>'Stage  Entry'!X6</f>
        <v>0.009375</v>
      </c>
      <c r="G6" s="87">
        <f>D6+F6</f>
        <v>0.025069444444444443</v>
      </c>
      <c r="H6" s="85" t="str">
        <f>'Stage  Entry'!AB6</f>
        <v>Garth Calder</v>
      </c>
      <c r="I6" s="86">
        <f>'Stage  Entry'!AC6</f>
        <v>0.010833333333333334</v>
      </c>
      <c r="J6" s="87">
        <f>G6+I6</f>
        <v>0.035902777777777777</v>
      </c>
      <c r="K6" s="85" t="str">
        <f>'Stage  Entry'!AG6</f>
        <v>John Charles</v>
      </c>
      <c r="L6" s="86">
        <f>'Stage  Entry'!AH6</f>
        <v>0.010289351851851852</v>
      </c>
      <c r="M6" s="87">
        <f>J6+L6</f>
        <v>0.046192129629629625</v>
      </c>
      <c r="N6" s="85" t="str">
        <f>'Stage  Entry'!AL6</f>
        <v>David Venour</v>
      </c>
      <c r="O6" s="86">
        <f>'Stage  Entry'!AM6</f>
        <v>0.010902777777777777</v>
      </c>
      <c r="P6" s="87">
        <f>M6+O6</f>
        <v>0.0570949074074074</v>
      </c>
      <c r="Q6" s="85" t="str">
        <f>'Stage  Entry'!AQ6</f>
        <v>Rory Heddles</v>
      </c>
      <c r="R6" s="86">
        <f>'Stage  Entry'!AR6</f>
        <v>0.008622685185185185</v>
      </c>
      <c r="S6" s="87">
        <f>P6+R6</f>
        <v>0.06571759259259258</v>
      </c>
      <c r="T6" s="85" t="str">
        <f>'Stage  Entry'!AV6</f>
        <v>Garth Calder</v>
      </c>
      <c r="U6" s="86">
        <f>'Stage  Entry'!AW6</f>
        <v>0.00954861111111111</v>
      </c>
      <c r="V6" s="87">
        <f>S6+U6</f>
        <v>0.07526620370370368</v>
      </c>
      <c r="W6" s="85">
        <f>+'Stage  Entry'!BB6</f>
        <v>0</v>
      </c>
      <c r="X6" s="86">
        <f>+'Stage  Entry'!BC6</f>
        <v>0</v>
      </c>
      <c r="Y6" s="87">
        <f>V6+X6</f>
        <v>0.07526620370370368</v>
      </c>
      <c r="Z6" s="85" t="str">
        <f>'Stage  Entry'!R12</f>
        <v>Rory Heddles &amp; Garth Calder</v>
      </c>
      <c r="AA6" s="86">
        <f>'Stage  Entry'!S12</f>
        <v>0.016134259259259258</v>
      </c>
      <c r="AB6" s="87">
        <f>Y6+AA6</f>
        <v>0.09140046296296295</v>
      </c>
      <c r="AC6" s="85" t="str">
        <f>'Stage  Entry'!W12</f>
        <v>David Venour</v>
      </c>
      <c r="AD6" s="86">
        <f>'Stage  Entry'!X12</f>
        <v>0.01056712962962963</v>
      </c>
      <c r="AE6" s="87">
        <f>AB6+AD6</f>
        <v>0.10196759259259258</v>
      </c>
      <c r="AF6" s="85" t="str">
        <f>'Stage  Entry'!AB12</f>
        <v>John Charles</v>
      </c>
      <c r="AG6" s="86">
        <f>'Stage  Entry'!AC12</f>
        <v>0.010578703703703703</v>
      </c>
      <c r="AH6" s="87">
        <f>AE6+AG6</f>
        <v>0.11254629629629628</v>
      </c>
      <c r="AI6" s="85" t="str">
        <f>'Stage  Entry'!AG12</f>
        <v>Rory Heddles</v>
      </c>
      <c r="AJ6" s="86">
        <f>'Stage  Entry'!AH12</f>
        <v>0.009421296296296296</v>
      </c>
      <c r="AK6" s="87">
        <f>AH6+AJ6</f>
        <v>0.12196759259259257</v>
      </c>
      <c r="AL6" s="85" t="str">
        <f>'Stage  Entry'!AL12</f>
        <v>David Venour</v>
      </c>
      <c r="AM6" s="86">
        <f>'Stage  Entry'!AM12</f>
        <v>0.011076388888888887</v>
      </c>
      <c r="AN6" s="87">
        <f>AK6+AM6</f>
        <v>0.13304398148148147</v>
      </c>
      <c r="AO6" s="85" t="str">
        <f>'Stage  Entry'!AQ12</f>
        <v>John Charles</v>
      </c>
      <c r="AP6" s="86">
        <f>'Stage  Entry'!AR12</f>
        <v>0.010949074074074075</v>
      </c>
      <c r="AQ6" s="87">
        <f>AN6+AP6</f>
        <v>0.14399305555555555</v>
      </c>
      <c r="AR6" s="85" t="str">
        <f>'Stage  Entry'!AV12</f>
        <v>Garth Calder</v>
      </c>
      <c r="AS6" s="86">
        <f>'Stage  Entry'!AW12</f>
        <v>0.009432870370370371</v>
      </c>
      <c r="AT6" s="87">
        <f>AQ6+AS6</f>
        <v>0.15342592592592594</v>
      </c>
      <c r="AU6" s="85">
        <f>+'Stage  Entry'!BB12</f>
        <v>0</v>
      </c>
      <c r="AV6" s="86">
        <f>+'Stage  Entry'!BC12</f>
        <v>0</v>
      </c>
      <c r="AW6" s="87">
        <f>AT6+AV6</f>
        <v>0.15342592592592594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</row>
    <row r="8" spans="2:65" s="101" customFormat="1" ht="12.75">
      <c r="B8" s="102"/>
      <c r="C8" s="103" t="s">
        <v>43</v>
      </c>
      <c r="D8" s="104" t="s">
        <v>42</v>
      </c>
      <c r="E8" s="102"/>
      <c r="F8" s="103" t="s">
        <v>43</v>
      </c>
      <c r="G8" s="104" t="s">
        <v>42</v>
      </c>
      <c r="H8" s="102"/>
      <c r="I8" s="103" t="s">
        <v>43</v>
      </c>
      <c r="J8" s="104" t="s">
        <v>42</v>
      </c>
      <c r="K8" s="102"/>
      <c r="L8" s="103" t="s">
        <v>43</v>
      </c>
      <c r="M8" s="104" t="s">
        <v>42</v>
      </c>
      <c r="N8" s="102"/>
      <c r="O8" s="103" t="s">
        <v>43</v>
      </c>
      <c r="P8" s="104" t="s">
        <v>42</v>
      </c>
      <c r="Q8" s="102"/>
      <c r="R8" s="103" t="s">
        <v>43</v>
      </c>
      <c r="S8" s="104" t="s">
        <v>42</v>
      </c>
      <c r="T8" s="102"/>
      <c r="U8" s="103" t="s">
        <v>43</v>
      </c>
      <c r="V8" s="104" t="s">
        <v>42</v>
      </c>
      <c r="W8" s="36"/>
      <c r="X8" s="103" t="s">
        <v>43</v>
      </c>
      <c r="Y8" s="104" t="s">
        <v>42</v>
      </c>
      <c r="Z8" s="102"/>
      <c r="AA8" s="103" t="s">
        <v>43</v>
      </c>
      <c r="AB8" s="104" t="s">
        <v>42</v>
      </c>
      <c r="AC8" s="102"/>
      <c r="AD8" s="103" t="s">
        <v>43</v>
      </c>
      <c r="AE8" s="104" t="s">
        <v>42</v>
      </c>
      <c r="AF8" s="102"/>
      <c r="AG8" s="103" t="s">
        <v>43</v>
      </c>
      <c r="AH8" s="104" t="s">
        <v>42</v>
      </c>
      <c r="AI8" s="102"/>
      <c r="AJ8" s="103" t="s">
        <v>43</v>
      </c>
      <c r="AK8" s="104" t="s">
        <v>42</v>
      </c>
      <c r="AL8" s="102"/>
      <c r="AM8" s="103" t="s">
        <v>43</v>
      </c>
      <c r="AN8" s="104" t="s">
        <v>42</v>
      </c>
      <c r="AO8" s="102"/>
      <c r="AP8" s="103" t="s">
        <v>43</v>
      </c>
      <c r="AQ8" s="104" t="s">
        <v>42</v>
      </c>
      <c r="AR8" s="102"/>
      <c r="AS8" s="103" t="s">
        <v>43</v>
      </c>
      <c r="AT8" s="104" t="s">
        <v>42</v>
      </c>
      <c r="AU8" s="36"/>
      <c r="AV8" s="103" t="s">
        <v>43</v>
      </c>
      <c r="AW8" s="104" t="s">
        <v>42</v>
      </c>
      <c r="AX8" s="107"/>
      <c r="AY8" s="108" t="s">
        <v>0</v>
      </c>
      <c r="AZ8" s="109">
        <v>1</v>
      </c>
      <c r="BA8" s="109">
        <v>2</v>
      </c>
      <c r="BB8" s="109">
        <v>3</v>
      </c>
      <c r="BC8" s="109">
        <v>4</v>
      </c>
      <c r="BD8" s="109">
        <v>5</v>
      </c>
      <c r="BE8" s="109">
        <v>6</v>
      </c>
      <c r="BF8" s="109">
        <v>7</v>
      </c>
      <c r="BG8" s="109">
        <v>8</v>
      </c>
      <c r="BH8" s="109">
        <v>9</v>
      </c>
      <c r="BI8" s="109">
        <v>10</v>
      </c>
      <c r="BJ8" s="109">
        <v>11</v>
      </c>
      <c r="BK8" s="109">
        <v>12</v>
      </c>
      <c r="BL8" s="109">
        <v>13</v>
      </c>
      <c r="BM8" s="109">
        <v>14</v>
      </c>
    </row>
    <row r="9" spans="3:65" ht="12.75">
      <c r="C9" s="99">
        <f>RANK(D4,D$4:D$6,1)</f>
        <v>3</v>
      </c>
      <c r="D9" s="100">
        <f>D4-MIN(D$4,D$5,D$6)</f>
        <v>0.000347222222222221</v>
      </c>
      <c r="F9" s="99">
        <f>RANK(G4,G$4:G$6,1)</f>
        <v>2</v>
      </c>
      <c r="G9" s="100">
        <f>G4-MIN(G$4,G$5,G$6)</f>
        <v>1.157407407407357E-05</v>
      </c>
      <c r="I9" s="99">
        <f>RANK(J4,J$4:J$6,1)</f>
        <v>1</v>
      </c>
      <c r="J9" s="100">
        <f>J4-MIN(J$4,J$5,J$6)</f>
        <v>0</v>
      </c>
      <c r="L9" s="99">
        <f>RANK(M4,M$4:M$6,1)</f>
        <v>2</v>
      </c>
      <c r="M9" s="100">
        <f>M4-MIN(M$4,M$5,M$6)</f>
        <v>0.0007060185185185155</v>
      </c>
      <c r="O9" s="99">
        <f>RANK(P4,P$4:P$6,1)</f>
        <v>1</v>
      </c>
      <c r="P9" s="100">
        <f>P4-MIN(P$4,P$5,P$6)</f>
        <v>0</v>
      </c>
      <c r="R9" s="99">
        <f>RANK(S4,S$4:S$6,1)</f>
        <v>2</v>
      </c>
      <c r="S9" s="100">
        <f>S4-MIN(S$4,S$5,S$6)</f>
        <v>3.472222222222765E-05</v>
      </c>
      <c r="U9" s="99">
        <f>RANK(V4,V$4:V$6,1)</f>
        <v>1</v>
      </c>
      <c r="V9" s="100">
        <f>V4-MIN(V$4,V$5,V$6)</f>
        <v>0</v>
      </c>
      <c r="X9" s="99">
        <f>RANK(Y4,Y$4:Y$6,1)</f>
        <v>1</v>
      </c>
      <c r="Y9" s="100">
        <f>Y4-MIN(Y$4,Y$5,Y$6)</f>
        <v>0</v>
      </c>
      <c r="AA9" s="99">
        <f>RANK(AB4,AB$4:AB$6,1)</f>
        <v>1</v>
      </c>
      <c r="AB9" s="100">
        <f>AB4-MIN(AB$4,AB$5,AB$6)</f>
        <v>0</v>
      </c>
      <c r="AD9" s="99">
        <f>RANK(AE4,AE$4:AE$6,1)</f>
        <v>2</v>
      </c>
      <c r="AE9" s="100">
        <f>AE4-MIN(AE$4,AE$5,AE$6)</f>
        <v>0.00016203703703704386</v>
      </c>
      <c r="AG9" s="99">
        <f>RANK(AH4,AH$4:AH$6,1)</f>
        <v>1</v>
      </c>
      <c r="AH9" s="100">
        <f>AH4-MIN(AH$4,AH$5,AH$6)</f>
        <v>0</v>
      </c>
      <c r="AJ9" s="99">
        <f>RANK(AK4,AK$4:AK$6,1)</f>
        <v>1</v>
      </c>
      <c r="AK9" s="100">
        <f>AK4-MIN(AK$4,AK$5,AK$6)</f>
        <v>0</v>
      </c>
      <c r="AM9" s="99">
        <f>RANK(AN4,AN$4:AN$6,1)</f>
        <v>1</v>
      </c>
      <c r="AN9" s="100">
        <f>AN4-MIN(AN$4,AN$5,AN$6)</f>
        <v>0</v>
      </c>
      <c r="AP9" s="99">
        <f>RANK(AQ4,AQ$4:AQ$6,1)</f>
        <v>1</v>
      </c>
      <c r="AQ9" s="100">
        <f>AQ4-MIN(AQ$4,AQ$5,AQ$6)</f>
        <v>0</v>
      </c>
      <c r="AS9" s="99">
        <f>RANK(AT4,AT$4:AT$6,1)</f>
        <v>1</v>
      </c>
      <c r="AT9" s="100">
        <f>AT4-MIN(AT$4,AT$5,AT$6)</f>
        <v>0</v>
      </c>
      <c r="AV9" s="99">
        <f>RANK(AW4,AW$4:AW$6,1)</f>
        <v>1</v>
      </c>
      <c r="AW9" s="100">
        <f>AW4-MIN(AW$4,AW$5,AW$6)</f>
        <v>0</v>
      </c>
      <c r="AX9" s="110"/>
      <c r="AY9" s="111" t="str">
        <f>A4</f>
        <v>Status Quo</v>
      </c>
      <c r="AZ9" s="112">
        <f>D9</f>
        <v>0.000347222222222221</v>
      </c>
      <c r="BA9" s="112">
        <f>G9</f>
        <v>1.157407407407357E-05</v>
      </c>
      <c r="BB9" s="112">
        <f>J9</f>
        <v>0</v>
      </c>
      <c r="BC9" s="112">
        <f>M9</f>
        <v>0.0007060185185185155</v>
      </c>
      <c r="BD9" s="112">
        <f>P9</f>
        <v>0</v>
      </c>
      <c r="BE9" s="112">
        <f>S9</f>
        <v>3.472222222222765E-05</v>
      </c>
      <c r="BF9" s="112">
        <f>V9</f>
        <v>0</v>
      </c>
      <c r="BG9" s="112">
        <f>AB9</f>
        <v>0</v>
      </c>
      <c r="BH9" s="112">
        <f>AE9</f>
        <v>0.00016203703703704386</v>
      </c>
      <c r="BI9" s="112">
        <f>AH9</f>
        <v>0</v>
      </c>
      <c r="BJ9" s="112">
        <f>AK9</f>
        <v>0</v>
      </c>
      <c r="BK9" s="112">
        <f>AN9</f>
        <v>0</v>
      </c>
      <c r="BL9" s="112">
        <f>AQ9</f>
        <v>0</v>
      </c>
      <c r="BM9" s="112">
        <f>AT9</f>
        <v>0</v>
      </c>
    </row>
    <row r="10" spans="3:65" ht="12.75">
      <c r="C10" s="99">
        <f>RANK(D5,D$4:D$6,1)</f>
        <v>1</v>
      </c>
      <c r="D10" s="100">
        <f>D5-MIN(D$4,D$5,D$6)</f>
        <v>0</v>
      </c>
      <c r="F10" s="99">
        <f>RANK(G5,G$4:G$6,1)</f>
        <v>3</v>
      </c>
      <c r="G10" s="100">
        <f>G5-MIN(G$4,G$5,G$6)</f>
        <v>0.0005092592592592579</v>
      </c>
      <c r="I10" s="99">
        <f>RANK(J5,J$4:J$6,1)</f>
        <v>3</v>
      </c>
      <c r="J10" s="100">
        <f>J5-MIN(J$4,J$5,J$6)</f>
        <v>0.0006250000000000006</v>
      </c>
      <c r="L10" s="99">
        <f>RANK(M5,M$4:M$6,1)</f>
        <v>3</v>
      </c>
      <c r="M10" s="100">
        <f>M5-MIN(M$4,M$5,M$6)</f>
        <v>0.0013425925925925966</v>
      </c>
      <c r="O10" s="99">
        <f>RANK(P5,P$4:P$6,1)</f>
        <v>3</v>
      </c>
      <c r="P10" s="100">
        <f>P5-MIN(P$4,P$5,P$6)</f>
        <v>0.000879629629629633</v>
      </c>
      <c r="R10" s="99">
        <f>RANK(S5,S$4:S$6,1)</f>
        <v>3</v>
      </c>
      <c r="S10" s="100">
        <f>S5-MIN(S$4,S$5,S$6)</f>
        <v>0.0013773148148148312</v>
      </c>
      <c r="U10" s="99">
        <f>RANK(V5,V$4:V$6,1)</f>
        <v>3</v>
      </c>
      <c r="V10" s="100">
        <f>V5-MIN(V$4,V$5,V$6)</f>
        <v>0.0010995370370370516</v>
      </c>
      <c r="X10" s="99">
        <f>RANK(Y5,Y$4:Y$6,1)</f>
        <v>3</v>
      </c>
      <c r="Y10" s="100">
        <f>Y5-MIN(Y$4,Y$5,Y$6)</f>
        <v>0.0010995370370370516</v>
      </c>
      <c r="AA10" s="99">
        <f>RANK(AB5,AB$4:AB$6,1)</f>
        <v>3</v>
      </c>
      <c r="AB10" s="100">
        <f>AB5-MIN(AB$4,AB$5,AB$6)</f>
        <v>0.0025462962962963104</v>
      </c>
      <c r="AD10" s="99">
        <f>RANK(AE5,AE$4:AE$6,1)</f>
        <v>3</v>
      </c>
      <c r="AE10" s="100">
        <f>AE5-MIN(AE$4,AE$5,AE$6)</f>
        <v>0.0014814814814815003</v>
      </c>
      <c r="AG10" s="99">
        <f>RANK(AH5,AH$4:AH$6,1)</f>
        <v>3</v>
      </c>
      <c r="AH10" s="100">
        <f>AH5-MIN(AH$4,AH$5,AH$6)</f>
        <v>0.002476851851851855</v>
      </c>
      <c r="AJ10" s="99">
        <f>RANK(AK5,AK$4:AK$6,1)</f>
        <v>3</v>
      </c>
      <c r="AK10" s="100">
        <f>AK5-MIN(AK$4,AK$5,AK$6)</f>
        <v>0.0028356481481481566</v>
      </c>
      <c r="AM10" s="99">
        <f>RANK(AN5,AN$4:AN$6,1)</f>
        <v>3</v>
      </c>
      <c r="AN10" s="100">
        <f>AN5-MIN(AN$4,AN$5,AN$6)</f>
        <v>0.003229166666666672</v>
      </c>
      <c r="AP10" s="99">
        <f>RANK(AQ5,AQ$4:AQ$6,1)</f>
        <v>3</v>
      </c>
      <c r="AQ10" s="100">
        <f>AQ5-MIN(AQ$4,AQ$5,AQ$6)</f>
        <v>0.0034722222222222376</v>
      </c>
      <c r="AS10" s="99">
        <f>RANK(AT5,AT$4:AT$6,1)</f>
        <v>3</v>
      </c>
      <c r="AT10" s="100">
        <f>AT5-MIN(AT$4,AT$5,AT$6)</f>
        <v>0.006215277777777806</v>
      </c>
      <c r="AV10" s="99">
        <f>RANK(AW5,AW$4:AW$6,1)</f>
        <v>3</v>
      </c>
      <c r="AW10" s="100">
        <f>AW5-MIN(AW$4,AW$5,AW$6)</f>
        <v>0.006215277777777806</v>
      </c>
      <c r="AX10" s="110"/>
      <c r="AY10" s="111" t="str">
        <f>A5</f>
        <v>Monumental Selection Error</v>
      </c>
      <c r="AZ10" s="112">
        <f>D10</f>
        <v>0</v>
      </c>
      <c r="BA10" s="112">
        <f>G10</f>
        <v>0.0005092592592592579</v>
      </c>
      <c r="BB10" s="112">
        <f>J10</f>
        <v>0.0006250000000000006</v>
      </c>
      <c r="BC10" s="112">
        <f>M10</f>
        <v>0.0013425925925925966</v>
      </c>
      <c r="BD10" s="112">
        <f>P10</f>
        <v>0.000879629629629633</v>
      </c>
      <c r="BE10" s="112">
        <f>S10</f>
        <v>0.0013773148148148312</v>
      </c>
      <c r="BF10" s="112">
        <f>V10</f>
        <v>0.0010995370370370516</v>
      </c>
      <c r="BG10" s="112">
        <f>AB10</f>
        <v>0.0025462962962963104</v>
      </c>
      <c r="BH10" s="112">
        <f>AE10</f>
        <v>0.0014814814814815003</v>
      </c>
      <c r="BI10" s="112">
        <f>AH10</f>
        <v>0.002476851851851855</v>
      </c>
      <c r="BJ10" s="112">
        <f>AK10</f>
        <v>0.0028356481481481566</v>
      </c>
      <c r="BK10" s="112">
        <f>AN10</f>
        <v>0.003229166666666672</v>
      </c>
      <c r="BL10" s="112">
        <f>AQ10</f>
        <v>0.0034722222222222376</v>
      </c>
      <c r="BM10" s="112">
        <f>AT10</f>
        <v>0.006215277777777806</v>
      </c>
    </row>
    <row r="11" spans="3:65" ht="12.75">
      <c r="C11" s="99">
        <f>RANK(D6,D$4:D$6,1)</f>
        <v>2</v>
      </c>
      <c r="D11" s="100">
        <f>D6-MIN(D$4,D$5,D$6)</f>
        <v>0.00030092592592592324</v>
      </c>
      <c r="F11" s="99">
        <f>RANK(G6,G$4:G$6,1)</f>
        <v>1</v>
      </c>
      <c r="G11" s="100">
        <f>G6-MIN(G$4,G$5,G$6)</f>
        <v>0</v>
      </c>
      <c r="I11" s="99">
        <f>RANK(J6,J$4:J$6,1)</f>
        <v>2</v>
      </c>
      <c r="J11" s="100">
        <f>J6-MIN(J$4,J$5,J$6)</f>
        <v>8.101851851852193E-05</v>
      </c>
      <c r="L11" s="99">
        <f>RANK(M6,M$4:M$6,1)</f>
        <v>1</v>
      </c>
      <c r="M11" s="100">
        <f>M6-MIN(M$4,M$5,M$6)</f>
        <v>0</v>
      </c>
      <c r="O11" s="99">
        <f>RANK(P6,P$4:P$6,1)</f>
        <v>1</v>
      </c>
      <c r="P11" s="100">
        <f>P6-MIN(P$4,P$5,P$6)</f>
        <v>0</v>
      </c>
      <c r="R11" s="99">
        <f>RANK(S6,S$4:S$6,1)</f>
        <v>1</v>
      </c>
      <c r="S11" s="100">
        <f>S6-MIN(S$4,S$5,S$6)</f>
        <v>0</v>
      </c>
      <c r="U11" s="99">
        <f>RANK(V6,V$4:V$6,1)</f>
        <v>2</v>
      </c>
      <c r="V11" s="100">
        <f>V6-MIN(V$4,V$5,V$6)</f>
        <v>2.3148148148133263E-05</v>
      </c>
      <c r="X11" s="99">
        <f>RANK(Y6,Y$4:Y$6,1)</f>
        <v>2</v>
      </c>
      <c r="Y11" s="100">
        <f>Y6-MIN(Y$4,Y$5,Y$6)</f>
        <v>2.3148148148133263E-05</v>
      </c>
      <c r="AA11" s="99">
        <f>RANK(AB6,AB$4:AB$6,1)</f>
        <v>2</v>
      </c>
      <c r="AB11" s="100">
        <f>AB6-MIN(AB$4,AB$5,AB$6)</f>
        <v>0.00013888888888888284</v>
      </c>
      <c r="AD11" s="99">
        <f>RANK(AE6,AE$4:AE$6,1)</f>
        <v>1</v>
      </c>
      <c r="AE11" s="100">
        <f>AE6-MIN(AE$4,AE$5,AE$6)</f>
        <v>0</v>
      </c>
      <c r="AG11" s="99">
        <f>RANK(AH6,AH$4:AH$6,1)</f>
        <v>2</v>
      </c>
      <c r="AH11" s="100">
        <f>AH6-MIN(AH$4,AH$5,AH$6)</f>
        <v>0.00015046296296294948</v>
      </c>
      <c r="AJ11" s="99">
        <f>RANK(AK6,AK$4:AK$6,1)</f>
        <v>2</v>
      </c>
      <c r="AK11" s="100">
        <f>AK6-MIN(AK$4,AK$5,AK$6)</f>
        <v>0.00015046296296294948</v>
      </c>
      <c r="AM11" s="99">
        <f>RANK(AN6,AN$4:AN$6,1)</f>
        <v>2</v>
      </c>
      <c r="AN11" s="100">
        <f>AN6-MIN(AN$4,AN$5,AN$6)</f>
        <v>0.0012731481481481344</v>
      </c>
      <c r="AP11" s="99">
        <f>RANK(AQ6,AQ$4:AQ$6,1)</f>
        <v>2</v>
      </c>
      <c r="AQ11" s="100">
        <f>AQ6-MIN(AQ$4,AQ$5,AQ$6)</f>
        <v>0.0006828703703703753</v>
      </c>
      <c r="AS11" s="99">
        <f>RANK(AT6,AT$4:AT$6,1)</f>
        <v>2</v>
      </c>
      <c r="AT11" s="100">
        <f>AT6-MIN(AT$4,AT$5,AT$6)</f>
        <v>0.0008217592592592859</v>
      </c>
      <c r="AV11" s="99">
        <f>RANK(AW6,AW$4:AW$6,1)</f>
        <v>2</v>
      </c>
      <c r="AW11" s="100">
        <f>AW6-MIN(AW$4,AW$5,AW$6)</f>
        <v>0.0008217592592592859</v>
      </c>
      <c r="AX11" s="110"/>
      <c r="AY11" s="111" t="str">
        <f>A6</f>
        <v>Where's Our Captain?</v>
      </c>
      <c r="AZ11" s="112">
        <f>D11</f>
        <v>0.00030092592592592324</v>
      </c>
      <c r="BA11" s="112">
        <f>G11</f>
        <v>0</v>
      </c>
      <c r="BB11" s="112">
        <f>J11</f>
        <v>8.101851851852193E-05</v>
      </c>
      <c r="BC11" s="112">
        <f>M11</f>
        <v>0</v>
      </c>
      <c r="BD11" s="112">
        <f>P11</f>
        <v>0</v>
      </c>
      <c r="BE11" s="112">
        <f>S11</f>
        <v>0</v>
      </c>
      <c r="BF11" s="112">
        <f>V11</f>
        <v>2.3148148148133263E-05</v>
      </c>
      <c r="BG11" s="112">
        <f>AB11</f>
        <v>0.00013888888888888284</v>
      </c>
      <c r="BH11" s="112">
        <f>AE11</f>
        <v>0</v>
      </c>
      <c r="BI11" s="112">
        <f>AH11</f>
        <v>0.00015046296296294948</v>
      </c>
      <c r="BJ11" s="112">
        <f>AK11</f>
        <v>0.00015046296296294948</v>
      </c>
      <c r="BK11" s="112">
        <f>AN11</f>
        <v>0.0012731481481481344</v>
      </c>
      <c r="BL11" s="112">
        <f>AQ11</f>
        <v>0.0006828703703703753</v>
      </c>
      <c r="BM11" s="112">
        <f>AT11</f>
        <v>0.0008217592592592859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showZeros="0" zoomScale="125" zoomScaleNormal="125" zoomScalePageLayoutView="0" workbookViewId="0" topLeftCell="B1">
      <selection activeCell="M30" sqref="M30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10" customWidth="1"/>
    <col min="5" max="5" width="5.7109375" style="3" customWidth="1"/>
    <col min="6" max="6" width="6.7109375" style="10" customWidth="1"/>
    <col min="7" max="7" width="1.7109375" style="1" customWidth="1"/>
    <col min="8" max="8" width="5.7109375" style="2" customWidth="1"/>
    <col min="9" max="9" width="5.7109375" style="10" customWidth="1"/>
    <col min="10" max="10" width="5.7109375" style="3" customWidth="1"/>
    <col min="11" max="11" width="6.7109375" style="10" customWidth="1"/>
    <col min="12" max="12" width="1.7109375" style="1" customWidth="1"/>
    <col min="13" max="13" width="5.7109375" style="2" customWidth="1"/>
    <col min="14" max="14" width="5.7109375" style="10" customWidth="1"/>
    <col min="15" max="15" width="5.7109375" style="3" customWidth="1"/>
    <col min="16" max="16" width="6.7109375" style="10" customWidth="1"/>
    <col min="17" max="17" width="1.7109375" style="1" customWidth="1"/>
    <col min="18" max="18" width="5.7109375" style="2" customWidth="1"/>
    <col min="19" max="19" width="5.7109375" style="10" customWidth="1"/>
    <col min="20" max="20" width="5.7109375" style="3" customWidth="1"/>
    <col min="21" max="21" width="6.7109375" style="10" customWidth="1"/>
    <col min="22" max="22" width="1.7109375" style="1" customWidth="1"/>
    <col min="23" max="23" width="7.7109375" style="3" customWidth="1"/>
    <col min="24" max="24" width="7.7109375" style="10" customWidth="1"/>
    <col min="25" max="25" width="1.1484375" style="1" customWidth="1"/>
    <col min="26" max="16384" width="9.140625" style="1" customWidth="1"/>
  </cols>
  <sheetData>
    <row r="1" spans="1:24" s="7" customFormat="1" ht="12.75">
      <c r="A1" s="25"/>
      <c r="B1" s="26"/>
      <c r="C1" s="11" t="s">
        <v>33</v>
      </c>
      <c r="D1" s="18"/>
      <c r="E1" s="20"/>
      <c r="F1" s="22"/>
      <c r="G1" s="1"/>
      <c r="H1" s="11" t="s">
        <v>34</v>
      </c>
      <c r="I1" s="18"/>
      <c r="J1" s="20"/>
      <c r="K1" s="22"/>
      <c r="L1" s="1"/>
      <c r="M1" s="11" t="s">
        <v>35</v>
      </c>
      <c r="N1" s="18"/>
      <c r="O1" s="20"/>
      <c r="P1" s="22"/>
      <c r="Q1" s="1"/>
      <c r="R1" s="11" t="s">
        <v>36</v>
      </c>
      <c r="S1" s="18"/>
      <c r="T1" s="20"/>
      <c r="U1" s="22"/>
      <c r="W1" s="28" t="s">
        <v>39</v>
      </c>
      <c r="X1" s="27" t="s">
        <v>40</v>
      </c>
    </row>
    <row r="2" spans="1:24" ht="12.75">
      <c r="A2" s="9" t="s">
        <v>28</v>
      </c>
      <c r="B2" s="8"/>
      <c r="C2" s="140" t="s">
        <v>11</v>
      </c>
      <c r="D2" s="27" t="s">
        <v>7</v>
      </c>
      <c r="E2" s="28" t="s">
        <v>32</v>
      </c>
      <c r="F2" s="27" t="s">
        <v>8</v>
      </c>
      <c r="H2" s="12" t="s">
        <v>11</v>
      </c>
      <c r="I2" s="19" t="s">
        <v>7</v>
      </c>
      <c r="J2" s="21" t="s">
        <v>32</v>
      </c>
      <c r="K2" s="19" t="s">
        <v>8</v>
      </c>
      <c r="M2" s="12" t="s">
        <v>11</v>
      </c>
      <c r="N2" s="19" t="s">
        <v>7</v>
      </c>
      <c r="O2" s="21" t="s">
        <v>32</v>
      </c>
      <c r="P2" s="19" t="s">
        <v>8</v>
      </c>
      <c r="R2" s="12" t="s">
        <v>11</v>
      </c>
      <c r="S2" s="19" t="s">
        <v>7</v>
      </c>
      <c r="T2" s="21" t="s">
        <v>32</v>
      </c>
      <c r="U2" s="19" t="s">
        <v>8</v>
      </c>
      <c r="W2" s="146" t="s">
        <v>38</v>
      </c>
      <c r="X2" s="147" t="s">
        <v>8</v>
      </c>
    </row>
    <row r="3" spans="1:24" ht="12.75">
      <c r="A3" s="4"/>
      <c r="B3" s="139" t="str">
        <f>+'Team Selection'!D3</f>
        <v>Andrew Coles</v>
      </c>
      <c r="C3" s="141" t="str">
        <f>VLOOKUP($B3&amp;"1",Data!$C:$G,2,FALSE)</f>
        <v>1 #1</v>
      </c>
      <c r="D3" s="142">
        <f>VLOOKUP($B3&amp;"1",Data!$C:$G,4,FALSE)</f>
        <v>0.007604166666666666</v>
      </c>
      <c r="E3" s="143">
        <f>VLOOKUP($B3&amp;"1",Data!$C:$G,5,FALSE)</f>
        <v>3</v>
      </c>
      <c r="F3" s="144">
        <f>+D3/E3</f>
        <v>0.002534722222222222</v>
      </c>
      <c r="H3" s="141">
        <f>VLOOKUP($B3&amp;"2",Data!$C:$G,2,FALSE)</f>
        <v>5</v>
      </c>
      <c r="I3" s="142">
        <f>VLOOKUP($B3&amp;"2",Data!$C:$G,4,FALSE)</f>
        <v>0.01019675925925926</v>
      </c>
      <c r="J3" s="143">
        <f>VLOOKUP($B3&amp;"2",Data!$C:$G,5,FALSE)</f>
        <v>4.7</v>
      </c>
      <c r="K3" s="144">
        <f>+I3/J3</f>
        <v>0.0021695232466509063</v>
      </c>
      <c r="M3" s="141">
        <f>VLOOKUP($B3&amp;"3",Data!$C:$G,2,FALSE)</f>
        <v>10</v>
      </c>
      <c r="N3" s="142">
        <f>VLOOKUP($B3&amp;"3",Data!$C:$G,4,FALSE)</f>
        <v>0.010266203703703703</v>
      </c>
      <c r="O3" s="143">
        <f>VLOOKUP($B3&amp;"3",Data!$C:$G,5,FALSE)</f>
        <v>4.45</v>
      </c>
      <c r="P3" s="144">
        <f>+N3/O3</f>
        <v>0.002307012068248023</v>
      </c>
      <c r="R3" s="141">
        <f>VLOOKUP($B3&amp;"4",Data!$C:$G,2,FALSE)</f>
        <v>12</v>
      </c>
      <c r="S3" s="142">
        <f>VLOOKUP($B3&amp;"4",Data!$C:$G,4,FALSE)</f>
        <v>0.009953703703703704</v>
      </c>
      <c r="T3" s="143">
        <f>VLOOKUP($B3&amp;"4",Data!$C:$G,5,FALSE)</f>
        <v>4</v>
      </c>
      <c r="U3" s="144">
        <f>+S3/T3</f>
        <v>0.002488425925925926</v>
      </c>
      <c r="W3" s="148">
        <f>SUM(E3,J3,O3,T3)</f>
        <v>16.15</v>
      </c>
      <c r="X3" s="144">
        <f>SUM(D3,I3,N3,S3)/W3</f>
        <v>0.0023542311661506714</v>
      </c>
    </row>
    <row r="4" spans="1:24" ht="12.75">
      <c r="A4" s="5"/>
      <c r="B4" s="139" t="str">
        <f>+'Team Selection'!D4</f>
        <v>Stephen Paine</v>
      </c>
      <c r="C4" s="145" t="str">
        <f>VLOOKUP($B4&amp;"1",Data!$C:$G,2,FALSE)</f>
        <v>1 #1</v>
      </c>
      <c r="D4" s="13">
        <f>IF(ISNA(VLOOKUP($B4&amp;"1",Data!$C:$G,4,FALSE)),"NA",VLOOKUP($B4&amp;"1",Data!$C:$G,4,FALSE))</f>
        <v>0.007337962962962963</v>
      </c>
      <c r="E4" s="14">
        <f>IF(ISNA(VLOOKUP($B4&amp;"1",Data!$C:$G,5,FALSE)),"NA",VLOOKUP($B4&amp;"1",Data!$C:$G,5,FALSE))</f>
        <v>3</v>
      </c>
      <c r="F4" s="15">
        <f>+D4/E4</f>
        <v>0.0024459876543209877</v>
      </c>
      <c r="H4" s="145">
        <f>VLOOKUP($B4&amp;"2",Data!$C:$G,2,FALSE)</f>
        <v>5</v>
      </c>
      <c r="I4" s="13">
        <f>IF(ISNA(VLOOKUP($B4&amp;"2",Data!$C:$G,4,FALSE)),"NA",VLOOKUP($B4&amp;"2",Data!$C:$G,4,FALSE))</f>
        <v>0.010439814814814813</v>
      </c>
      <c r="J4" s="14">
        <f>IF(ISNA(VLOOKUP($B4&amp;"2",Data!$C:$G,5,FALSE)),"NA",VLOOKUP($B4&amp;"2",Data!$C:$G,5,FALSE))</f>
        <v>4.7</v>
      </c>
      <c r="K4" s="15">
        <f>+I4/J4</f>
        <v>0.0022212371946414497</v>
      </c>
      <c r="M4" s="145">
        <f>VLOOKUP($B4&amp;"3",Data!$C:$G,2,FALSE)</f>
        <v>9</v>
      </c>
      <c r="N4" s="13">
        <f>IF(ISNA(VLOOKUP($B4&amp;"3",Data!$C:$G,4,FALSE)),"NA",VLOOKUP($B4&amp;"3",Data!$C:$G,4,FALSE))</f>
        <v>0.009641203703703704</v>
      </c>
      <c r="O4" s="14">
        <f>IF(ISNA(VLOOKUP($B4&amp;"3",Data!$C:$G,5,FALSE)),"NA",VLOOKUP($B4&amp;"3",Data!$C:$G,5,FALSE))</f>
        <v>3.6</v>
      </c>
      <c r="P4" s="15">
        <f>+N4/O4</f>
        <v>0.0026781121399176953</v>
      </c>
      <c r="R4" s="145">
        <f>VLOOKUP($B4&amp;"4",Data!$C:$G,2,FALSE)</f>
        <v>12</v>
      </c>
      <c r="S4" s="13">
        <f>IF(ISNA(VLOOKUP($B4&amp;"4",Data!$C:$G,4,FALSE)),"NA",VLOOKUP($B4&amp;"4",Data!$C:$G,4,FALSE))</f>
        <v>0.010347222222222223</v>
      </c>
      <c r="T4" s="14">
        <f>IF(ISNA(VLOOKUP($B4&amp;"4",Data!$C:$G,5,FALSE)),"NA",VLOOKUP($B4&amp;"4",Data!$C:$G,5,FALSE))</f>
        <v>4</v>
      </c>
      <c r="U4" s="15">
        <f>+S4/T4</f>
        <v>0.0025868055555555557</v>
      </c>
      <c r="W4" s="149">
        <f>SUM(E4,J4,O4,T4)</f>
        <v>15.3</v>
      </c>
      <c r="X4" s="15">
        <f>SUM(D4,I4,N4,S4)/W4</f>
        <v>0.0024683793270394577</v>
      </c>
    </row>
    <row r="5" spans="1:24" ht="12.75">
      <c r="A5" s="5"/>
      <c r="B5" s="139" t="str">
        <f>+'Team Selection'!D5</f>
        <v>David Venour</v>
      </c>
      <c r="C5" s="145" t="str">
        <f>VLOOKUP($B5&amp;"1",Data!$C:$G,2,FALSE)</f>
        <v>1 #1</v>
      </c>
      <c r="D5" s="13">
        <f>VLOOKUP($B5&amp;"1",Data!$C:$G,4,FALSE)</f>
        <v>0.007881944444444443</v>
      </c>
      <c r="E5" s="14">
        <f>VLOOKUP($B5&amp;"1",Data!$C:$G,5,FALSE)</f>
        <v>3</v>
      </c>
      <c r="F5" s="15">
        <f>+D5/E5</f>
        <v>0.0026273148148148145</v>
      </c>
      <c r="H5" s="145">
        <f>VLOOKUP($B5&amp;"2",Data!$C:$G,2,FALSE)</f>
        <v>5</v>
      </c>
      <c r="I5" s="13">
        <f>VLOOKUP($B5&amp;"2",Data!$C:$G,4,FALSE)</f>
        <v>0.010902777777777777</v>
      </c>
      <c r="J5" s="14">
        <f>VLOOKUP($B5&amp;"2",Data!$C:$G,5,FALSE)</f>
        <v>4.7</v>
      </c>
      <c r="K5" s="15">
        <f>+I5/J5</f>
        <v>0.002319739952718676</v>
      </c>
      <c r="M5" s="145">
        <f>VLOOKUP($B5&amp;"3",Data!$C:$G,2,FALSE)</f>
        <v>9</v>
      </c>
      <c r="N5" s="13">
        <f>VLOOKUP($B5&amp;"3",Data!$C:$G,4,FALSE)</f>
        <v>0.01056712962962963</v>
      </c>
      <c r="O5" s="14">
        <f>VLOOKUP($B5&amp;"3",Data!$C:$G,5,FALSE)</f>
        <v>3.6</v>
      </c>
      <c r="P5" s="15">
        <f>+N5/O5</f>
        <v>0.0029353137860082304</v>
      </c>
      <c r="R5" s="145">
        <f>VLOOKUP($B5&amp;"4",Data!$C:$G,2,FALSE)</f>
        <v>12</v>
      </c>
      <c r="S5" s="13">
        <f>VLOOKUP($B5&amp;"4",Data!$C:$G,4,FALSE)</f>
        <v>0.011076388888888887</v>
      </c>
      <c r="T5" s="14">
        <f>VLOOKUP($B5&amp;"4",Data!$C:$G,5,FALSE)</f>
        <v>4</v>
      </c>
      <c r="U5" s="15">
        <f>+S5/T5</f>
        <v>0.002769097222222222</v>
      </c>
      <c r="W5" s="149">
        <f>SUM(E5,J5,O5,T5)</f>
        <v>15.3</v>
      </c>
      <c r="X5" s="15">
        <f>SUM(D5,I5,N5,S5)/W5</f>
        <v>0.0026423686758654075</v>
      </c>
    </row>
    <row r="6" spans="1:24" s="7" customFormat="1" ht="12.75">
      <c r="A6" s="6"/>
      <c r="C6" s="6"/>
      <c r="D6" s="13"/>
      <c r="E6" s="14"/>
      <c r="F6" s="13"/>
      <c r="H6" s="6"/>
      <c r="I6" s="13"/>
      <c r="J6" s="14"/>
      <c r="K6" s="13"/>
      <c r="M6" s="6"/>
      <c r="N6" s="13"/>
      <c r="O6" s="14"/>
      <c r="P6" s="13"/>
      <c r="R6" s="6"/>
      <c r="S6" s="13"/>
      <c r="T6" s="14"/>
      <c r="U6" s="13"/>
      <c r="W6" s="14"/>
      <c r="X6" s="13"/>
    </row>
    <row r="7" spans="1:24" s="7" customFormat="1" ht="12.75">
      <c r="A7" s="6"/>
      <c r="C7" s="6"/>
      <c r="D7" s="13"/>
      <c r="E7" s="14"/>
      <c r="F7" s="13"/>
      <c r="H7" s="6"/>
      <c r="I7" s="13"/>
      <c r="J7" s="14"/>
      <c r="K7" s="13"/>
      <c r="M7" s="6"/>
      <c r="N7" s="13"/>
      <c r="O7" s="14"/>
      <c r="P7" s="13"/>
      <c r="R7" s="6"/>
      <c r="S7" s="13"/>
      <c r="T7" s="14"/>
      <c r="U7" s="13"/>
      <c r="W7" s="28" t="s">
        <v>39</v>
      </c>
      <c r="X7" s="27" t="s">
        <v>40</v>
      </c>
    </row>
    <row r="8" spans="1:24" ht="12.75">
      <c r="A8" s="9" t="s">
        <v>29</v>
      </c>
      <c r="B8" s="8"/>
      <c r="C8" s="12" t="s">
        <v>11</v>
      </c>
      <c r="D8" s="19" t="s">
        <v>7</v>
      </c>
      <c r="E8" s="21" t="s">
        <v>32</v>
      </c>
      <c r="F8" s="19" t="s">
        <v>8</v>
      </c>
      <c r="H8" s="12" t="s">
        <v>11</v>
      </c>
      <c r="I8" s="19" t="s">
        <v>7</v>
      </c>
      <c r="J8" s="21" t="s">
        <v>32</v>
      </c>
      <c r="K8" s="19" t="s">
        <v>8</v>
      </c>
      <c r="M8" s="12" t="s">
        <v>11</v>
      </c>
      <c r="N8" s="19" t="s">
        <v>7</v>
      </c>
      <c r="O8" s="21" t="s">
        <v>32</v>
      </c>
      <c r="P8" s="19" t="s">
        <v>8</v>
      </c>
      <c r="R8" s="12" t="s">
        <v>11</v>
      </c>
      <c r="S8" s="19" t="s">
        <v>7</v>
      </c>
      <c r="T8" s="21" t="s">
        <v>32</v>
      </c>
      <c r="U8" s="19" t="s">
        <v>8</v>
      </c>
      <c r="W8" s="24" t="s">
        <v>38</v>
      </c>
      <c r="X8" s="23" t="s">
        <v>8</v>
      </c>
    </row>
    <row r="9" spans="1:24" ht="12.75">
      <c r="A9" s="4"/>
      <c r="B9" s="130" t="str">
        <f>+'Team Selection'!F3</f>
        <v>Katie Seibold</v>
      </c>
      <c r="C9" s="141" t="str">
        <f>VLOOKUP($B9&amp;"1",Data!$C:$G,2,FALSE)</f>
        <v>1 #2</v>
      </c>
      <c r="D9" s="142">
        <f>VLOOKUP($B9&amp;"1",Data!$C:$G,4,FALSE)</f>
        <v>0.008136574074074074</v>
      </c>
      <c r="E9" s="143">
        <f>VLOOKUP($B9&amp;"1",Data!$C:$G,5,FALSE)</f>
        <v>3</v>
      </c>
      <c r="F9" s="144">
        <f>+D9/E9</f>
        <v>0.002712191358024691</v>
      </c>
      <c r="H9" s="141">
        <f>VLOOKUP($B9&amp;"2",Data!$C:$G,2,FALSE)</f>
        <v>4</v>
      </c>
      <c r="I9" s="142">
        <f>VLOOKUP($B9&amp;"2",Data!$C:$G,4,FALSE)</f>
        <v>0.011076388888888887</v>
      </c>
      <c r="J9" s="143">
        <f>VLOOKUP($B9&amp;"2",Data!$C:$G,5,FALSE)</f>
        <v>4.2</v>
      </c>
      <c r="K9" s="144">
        <f>+I9/J9</f>
        <v>0.0026372354497354493</v>
      </c>
      <c r="M9" s="141">
        <f>VLOOKUP($B9&amp;"3",Data!$C:$G,2,FALSE)</f>
        <v>9</v>
      </c>
      <c r="N9" s="142">
        <f>VLOOKUP($B9&amp;"3",Data!$C:$G,4,FALSE)</f>
        <v>0.010868055555555556</v>
      </c>
      <c r="O9" s="143">
        <f>VLOOKUP($B9&amp;"3",Data!$C:$G,5,FALSE)</f>
        <v>3.6</v>
      </c>
      <c r="P9" s="144">
        <f>+N9/O9</f>
        <v>0.003018904320987654</v>
      </c>
      <c r="R9" s="141">
        <f>VLOOKUP($B9&amp;"4",Data!$C:$G,2,FALSE)</f>
        <v>13</v>
      </c>
      <c r="S9" s="142">
        <f>VLOOKUP($B9&amp;"4",Data!$C:$G,4,FALSE)</f>
        <v>0.011539351851851851</v>
      </c>
      <c r="T9" s="143">
        <f>VLOOKUP($B9&amp;"4",Data!$C:$G,5,FALSE)</f>
        <v>4.5</v>
      </c>
      <c r="U9" s="144">
        <f>+S9/T9</f>
        <v>0.0025643004115226335</v>
      </c>
      <c r="W9" s="148">
        <f>SUM(E9,J9,O9,T9)</f>
        <v>15.3</v>
      </c>
      <c r="X9" s="144">
        <f>SUM(D9,I9,N9,S9)/W9</f>
        <v>0.002720285645122246</v>
      </c>
    </row>
    <row r="10" spans="1:24" ht="12.75">
      <c r="A10" s="5"/>
      <c r="B10" s="130" t="str">
        <f>+'Team Selection'!F4</f>
        <v>Norval Hope</v>
      </c>
      <c r="C10" s="145" t="str">
        <f>VLOOKUP($B10&amp;"1",Data!$C:$G,2,FALSE)</f>
        <v>1 #2</v>
      </c>
      <c r="D10" s="13">
        <f>VLOOKUP($B10&amp;"1",Data!$C:$G,4,FALSE)</f>
        <v>0.008055555555555555</v>
      </c>
      <c r="E10" s="14">
        <f>VLOOKUP($B10&amp;"1",Data!$C:$G,5,FALSE)</f>
        <v>3</v>
      </c>
      <c r="F10" s="15">
        <f>+D10/E10</f>
        <v>0.002685185185185185</v>
      </c>
      <c r="H10" s="145">
        <f>VLOOKUP($B10&amp;"2",Data!$C:$G,2,FALSE)</f>
        <v>4</v>
      </c>
      <c r="I10" s="13">
        <f>VLOOKUP($B10&amp;"2",Data!$C:$G,4,FALSE)</f>
        <v>0.011087962962962964</v>
      </c>
      <c r="J10" s="14">
        <f>VLOOKUP($B10&amp;"2",Data!$C:$G,5,FALSE)</f>
        <v>4.2</v>
      </c>
      <c r="K10" s="15">
        <f>+I10/J10</f>
        <v>0.0026399911816578484</v>
      </c>
      <c r="M10" s="145">
        <f>VLOOKUP($B10&amp;"3",Data!$C:$G,2,FALSE)</f>
        <v>10</v>
      </c>
      <c r="N10" s="13">
        <f>VLOOKUP($B10&amp;"3",Data!$C:$G,4,FALSE)</f>
        <v>0.011423611111111112</v>
      </c>
      <c r="O10" s="14">
        <f>VLOOKUP($B10&amp;"3",Data!$C:$G,5,FALSE)</f>
        <v>4.45</v>
      </c>
      <c r="P10" s="15">
        <f>+N10/O10</f>
        <v>0.002567103620474407</v>
      </c>
      <c r="R10" s="145">
        <f>VLOOKUP($B10&amp;"4",Data!$C:$G,2,FALSE)</f>
        <v>13</v>
      </c>
      <c r="S10" s="13">
        <f>VLOOKUP($B10&amp;"4",Data!$C:$G,4,FALSE)</f>
        <v>0.011782407407407406</v>
      </c>
      <c r="T10" s="14">
        <f>VLOOKUP($B10&amp;"4",Data!$C:$G,5,FALSE)</f>
        <v>4.5</v>
      </c>
      <c r="U10" s="15">
        <f>+S10/T10</f>
        <v>0.002618312757201646</v>
      </c>
      <c r="W10" s="149">
        <f>SUM(E10,J10,O10,T10)</f>
        <v>16.15</v>
      </c>
      <c r="X10" s="15">
        <f>SUM(D10,I10,N10,S10)/W10</f>
        <v>0.0026222623552344918</v>
      </c>
    </row>
    <row r="11" spans="1:24" ht="12.75">
      <c r="A11" s="5"/>
      <c r="B11" s="130" t="str">
        <f>+'Team Selection'!F5</f>
        <v>John Charles</v>
      </c>
      <c r="C11" s="145" t="str">
        <f>VLOOKUP($B11&amp;"1",Data!$C:$G,2,FALSE)</f>
        <v>1 #2</v>
      </c>
      <c r="D11" s="13">
        <f>VLOOKUP($B11&amp;"1",Data!$C:$G,4,FALSE)</f>
        <v>0.0078125</v>
      </c>
      <c r="E11" s="14">
        <f>VLOOKUP($B11&amp;"1",Data!$C:$G,5,FALSE)</f>
        <v>3</v>
      </c>
      <c r="F11" s="15">
        <f>+D11/E11</f>
        <v>0.0026041666666666665</v>
      </c>
      <c r="H11" s="145">
        <f>VLOOKUP($B11&amp;"2",Data!$C:$G,2,FALSE)</f>
        <v>4</v>
      </c>
      <c r="I11" s="13">
        <f>VLOOKUP($B11&amp;"2",Data!$C:$G,4,FALSE)</f>
        <v>0.010289351851851852</v>
      </c>
      <c r="J11" s="14">
        <f>VLOOKUP($B11&amp;"2",Data!$C:$G,5,FALSE)</f>
        <v>4.2</v>
      </c>
      <c r="K11" s="15">
        <f>+I11/J11</f>
        <v>0.0024498456790123455</v>
      </c>
      <c r="M11" s="145">
        <f>VLOOKUP($B11&amp;"3",Data!$C:$G,2,FALSE)</f>
        <v>10</v>
      </c>
      <c r="N11" s="13">
        <f>VLOOKUP($B11&amp;"3",Data!$C:$G,4,FALSE)</f>
        <v>0.010578703703703703</v>
      </c>
      <c r="O11" s="14">
        <f>VLOOKUP($B11&amp;"3",Data!$C:$G,5,FALSE)</f>
        <v>4.45</v>
      </c>
      <c r="P11" s="15">
        <f>+N11/O11</f>
        <v>0.002377236787349147</v>
      </c>
      <c r="R11" s="145">
        <f>VLOOKUP($B11&amp;"4",Data!$C:$G,2,FALSE)</f>
        <v>13</v>
      </c>
      <c r="S11" s="13">
        <f>VLOOKUP($B11&amp;"4",Data!$C:$G,4,FALSE)</f>
        <v>0.010949074074074075</v>
      </c>
      <c r="T11" s="14">
        <f>VLOOKUP($B11&amp;"4",Data!$C:$G,5,FALSE)</f>
        <v>4.5</v>
      </c>
      <c r="U11" s="15">
        <f>+S11/T11</f>
        <v>0.002433127572016461</v>
      </c>
      <c r="W11" s="149">
        <f>SUM(E11,J11,O11,T11)</f>
        <v>16.15</v>
      </c>
      <c r="X11" s="15">
        <f>SUM(D11,I11,N11,S11)/W11</f>
        <v>0.00245384703589038</v>
      </c>
    </row>
    <row r="12" spans="1:24" ht="12.75">
      <c r="A12" s="6"/>
      <c r="B12" s="7"/>
      <c r="C12" s="6"/>
      <c r="D12" s="13"/>
      <c r="E12" s="14"/>
      <c r="F12" s="13"/>
      <c r="G12" s="7"/>
      <c r="H12" s="6"/>
      <c r="I12" s="13"/>
      <c r="J12" s="14"/>
      <c r="K12" s="13"/>
      <c r="L12" s="7"/>
      <c r="M12" s="6"/>
      <c r="N12" s="13"/>
      <c r="O12" s="14"/>
      <c r="P12" s="13"/>
      <c r="Q12" s="7"/>
      <c r="R12" s="6"/>
      <c r="S12" s="13"/>
      <c r="T12" s="14"/>
      <c r="U12" s="13"/>
      <c r="X12" s="13"/>
    </row>
    <row r="13" spans="1:24" ht="12.75">
      <c r="A13" s="6"/>
      <c r="B13" s="7"/>
      <c r="C13" s="6"/>
      <c r="D13" s="13"/>
      <c r="E13" s="14"/>
      <c r="F13" s="13"/>
      <c r="G13" s="7"/>
      <c r="H13" s="6"/>
      <c r="I13" s="13"/>
      <c r="J13" s="14"/>
      <c r="K13" s="13"/>
      <c r="L13" s="7"/>
      <c r="M13" s="6"/>
      <c r="N13" s="13"/>
      <c r="O13" s="14"/>
      <c r="P13" s="13"/>
      <c r="Q13" s="7"/>
      <c r="R13" s="6"/>
      <c r="S13" s="13"/>
      <c r="T13" s="14"/>
      <c r="U13" s="13"/>
      <c r="W13" s="28" t="s">
        <v>39</v>
      </c>
      <c r="X13" s="27" t="s">
        <v>40</v>
      </c>
    </row>
    <row r="14" spans="1:24" ht="12.75">
      <c r="A14" s="9" t="s">
        <v>30</v>
      </c>
      <c r="B14" s="8"/>
      <c r="C14" s="12" t="s">
        <v>11</v>
      </c>
      <c r="D14" s="19" t="s">
        <v>7</v>
      </c>
      <c r="E14" s="21" t="s">
        <v>32</v>
      </c>
      <c r="F14" s="19" t="s">
        <v>8</v>
      </c>
      <c r="H14" s="12" t="s">
        <v>11</v>
      </c>
      <c r="I14" s="19" t="s">
        <v>7</v>
      </c>
      <c r="J14" s="21" t="s">
        <v>32</v>
      </c>
      <c r="K14" s="19" t="s">
        <v>8</v>
      </c>
      <c r="M14" s="12" t="s">
        <v>11</v>
      </c>
      <c r="N14" s="19" t="s">
        <v>7</v>
      </c>
      <c r="O14" s="21" t="s">
        <v>32</v>
      </c>
      <c r="P14" s="19" t="s">
        <v>8</v>
      </c>
      <c r="R14" s="12" t="s">
        <v>11</v>
      </c>
      <c r="S14" s="19" t="s">
        <v>7</v>
      </c>
      <c r="T14" s="21" t="s">
        <v>32</v>
      </c>
      <c r="U14" s="19" t="s">
        <v>8</v>
      </c>
      <c r="W14" s="24" t="s">
        <v>38</v>
      </c>
      <c r="X14" s="23" t="s">
        <v>8</v>
      </c>
    </row>
    <row r="15" spans="1:24" ht="12.75">
      <c r="A15" s="4"/>
      <c r="B15" s="130" t="str">
        <f>+'Team Selection'!H3</f>
        <v>Tony Hally</v>
      </c>
      <c r="C15" s="141">
        <f>VLOOKUP($B15&amp;"1",Data!$C:$G,2,FALSE)</f>
        <v>3</v>
      </c>
      <c r="D15" s="142">
        <f>VLOOKUP($B15&amp;"1",Data!$C:$G,4,FALSE)</f>
        <v>0.01074074074074074</v>
      </c>
      <c r="E15" s="143">
        <f>VLOOKUP($B15&amp;"1",Data!$C:$G,5,FALSE)</f>
        <v>3.9</v>
      </c>
      <c r="F15" s="144">
        <f>+D15/E15</f>
        <v>0.0027540360873694204</v>
      </c>
      <c r="H15" s="141">
        <f>VLOOKUP($B15&amp;"2",Data!$C:$G,2,FALSE)</f>
        <v>7</v>
      </c>
      <c r="I15" s="142">
        <f>VLOOKUP($B15&amp;"2",Data!$C:$G,4,FALSE)</f>
        <v>0.00949074074074074</v>
      </c>
      <c r="J15" s="143">
        <f>VLOOKUP($B15&amp;"2",Data!$C:$G,5,FALSE)</f>
        <v>3.7</v>
      </c>
      <c r="K15" s="144">
        <f>+I15/J15</f>
        <v>0.002565065065065065</v>
      </c>
      <c r="M15" s="141" t="str">
        <f>VLOOKUP($B15&amp;"3",Data!$C:$G,2,FALSE)</f>
        <v>8 #1</v>
      </c>
      <c r="N15" s="142">
        <f>VLOOKUP($B15&amp;"3",Data!$C:$G,4,FALSE)</f>
        <v>0.007962962962962963</v>
      </c>
      <c r="O15" s="143">
        <f>VLOOKUP($B15&amp;"3",Data!$C:$G,5,FALSE)</f>
        <v>3</v>
      </c>
      <c r="P15" s="144">
        <f>+N15/O15</f>
        <v>0.002654320987654321</v>
      </c>
      <c r="R15" s="141">
        <f>VLOOKUP($B15&amp;"4",Data!$C:$G,2,FALSE)</f>
        <v>11</v>
      </c>
      <c r="S15" s="142">
        <f>VLOOKUP($B15&amp;"4",Data!$C:$G,4,FALSE)</f>
        <v>0.009421296296296296</v>
      </c>
      <c r="T15" s="143">
        <f>VLOOKUP($B15&amp;"4",Data!$C:$G,5,FALSE)</f>
        <v>4</v>
      </c>
      <c r="U15" s="144">
        <f>+S15/T15</f>
        <v>0.002355324074074074</v>
      </c>
      <c r="W15" s="148">
        <f>SUM(E15,J15,O15,T15)</f>
        <v>14.6</v>
      </c>
      <c r="X15" s="144">
        <f>SUM(D15,I15,N15,S15)/W15</f>
        <v>0.002576420598680873</v>
      </c>
    </row>
    <row r="16" spans="1:24" ht="12.75">
      <c r="A16" s="5"/>
      <c r="B16" s="130" t="str">
        <f>+'Team Selection'!H4</f>
        <v>Thai Phan</v>
      </c>
      <c r="C16" s="145">
        <f>VLOOKUP($B16&amp;"1",Data!$C:$G,2,FALSE)</f>
        <v>3</v>
      </c>
      <c r="D16" s="13">
        <f>VLOOKUP($B16&amp;"1",Data!$C:$G,4,FALSE)</f>
        <v>0.010868055555555556</v>
      </c>
      <c r="E16" s="14">
        <f>VLOOKUP($B16&amp;"1",Data!$C:$G,5,FALSE)</f>
        <v>3.9</v>
      </c>
      <c r="F16" s="15">
        <f>+D16/E16</f>
        <v>0.002786680911680912</v>
      </c>
      <c r="H16" s="145">
        <f>VLOOKUP($B16&amp;"2",Data!$C:$G,2,FALSE)</f>
        <v>7</v>
      </c>
      <c r="I16" s="13">
        <f>VLOOKUP($B16&amp;"2",Data!$C:$G,4,FALSE)</f>
        <v>0.009247685185185185</v>
      </c>
      <c r="J16" s="14">
        <f>VLOOKUP($B16&amp;"2",Data!$C:$G,5,FALSE)</f>
        <v>3.7</v>
      </c>
      <c r="K16" s="15">
        <f>+I16/J16</f>
        <v>0.0024993743743743743</v>
      </c>
      <c r="M16" s="145" t="str">
        <f>VLOOKUP($B16&amp;"3",Data!$C:$G,2,FALSE)</f>
        <v>8 #1</v>
      </c>
      <c r="N16" s="13">
        <f>VLOOKUP($B16&amp;"3",Data!$C:$G,4,FALSE)</f>
        <v>0.008101851851851851</v>
      </c>
      <c r="O16" s="14">
        <f>VLOOKUP($B16&amp;"3",Data!$C:$G,5,FALSE)</f>
        <v>3</v>
      </c>
      <c r="P16" s="15">
        <f>+N16/O16</f>
        <v>0.002700617283950617</v>
      </c>
      <c r="R16" s="145">
        <f>VLOOKUP($B16&amp;"4",Data!$C:$G,2,FALSE)</f>
        <v>11</v>
      </c>
      <c r="S16" s="13">
        <f>VLOOKUP($B16&amp;"4",Data!$C:$G,4,FALSE)</f>
        <v>0.009780092592592592</v>
      </c>
      <c r="T16" s="14">
        <f>VLOOKUP($B16&amp;"4",Data!$C:$G,5,FALSE)</f>
        <v>4</v>
      </c>
      <c r="U16" s="15">
        <f>+S16/T16</f>
        <v>0.002445023148148148</v>
      </c>
      <c r="W16" s="149">
        <f>SUM(E16,J16,O16,T16)</f>
        <v>14.6</v>
      </c>
      <c r="X16" s="15">
        <f>SUM(D16,I16,N16,S16)/W16</f>
        <v>0.0026025811770674784</v>
      </c>
    </row>
    <row r="17" spans="1:24" ht="12.75">
      <c r="A17" s="5"/>
      <c r="B17" s="130" t="str">
        <f>+'Team Selection'!H5</f>
        <v>Garth Calder</v>
      </c>
      <c r="C17" s="145">
        <f>VLOOKUP($B17&amp;"1",Data!$C:$G,2,FALSE)</f>
        <v>3</v>
      </c>
      <c r="D17" s="13">
        <f>VLOOKUP($B17&amp;"1",Data!$C:$G,4,FALSE)</f>
        <v>0.010833333333333334</v>
      </c>
      <c r="E17" s="14">
        <f>VLOOKUP($B17&amp;"1",Data!$C:$G,5,FALSE)</f>
        <v>3.9</v>
      </c>
      <c r="F17" s="15">
        <f>+D17/E17</f>
        <v>0.002777777777777778</v>
      </c>
      <c r="H17" s="145">
        <f>VLOOKUP($B17&amp;"2",Data!$C:$G,2,FALSE)</f>
        <v>7</v>
      </c>
      <c r="I17" s="13">
        <f>VLOOKUP($B17&amp;"2",Data!$C:$G,4,FALSE)</f>
        <v>0.00954861111111111</v>
      </c>
      <c r="J17" s="14">
        <f>VLOOKUP($B17&amp;"2",Data!$C:$G,5,FALSE)</f>
        <v>3.7</v>
      </c>
      <c r="K17" s="15">
        <f>+I17/J17</f>
        <v>0.0025807057057057052</v>
      </c>
      <c r="M17" s="145" t="str">
        <f>VLOOKUP($B17&amp;"3",Data!$C:$G,2,FALSE)</f>
        <v>8 #2</v>
      </c>
      <c r="N17" s="13">
        <f>VLOOKUP($B17&amp;"3",Data!$C:$G,4,FALSE)</f>
        <v>0.008148148148148147</v>
      </c>
      <c r="O17" s="14">
        <f>VLOOKUP($B17&amp;"3",Data!$C:$G,5,FALSE)</f>
        <v>3</v>
      </c>
      <c r="P17" s="15">
        <f>+N17/O17</f>
        <v>0.0027160493827160493</v>
      </c>
      <c r="R17" s="145">
        <f>VLOOKUP($B17&amp;"4",Data!$C:$G,2,FALSE)</f>
        <v>14</v>
      </c>
      <c r="S17" s="13">
        <f>VLOOKUP($B17&amp;"4",Data!$C:$G,4,FALSE)</f>
        <v>0.009432870370370371</v>
      </c>
      <c r="T17" s="14">
        <f>VLOOKUP($B17&amp;"4",Data!$C:$G,5,FALSE)</f>
        <v>3.7</v>
      </c>
      <c r="U17" s="15">
        <f>+S17/T17</f>
        <v>0.0025494244244244246</v>
      </c>
      <c r="W17" s="149">
        <f>SUM(E17,J17,O17,T17)</f>
        <v>14.3</v>
      </c>
      <c r="X17" s="15">
        <f>SUM(D17,I17,N17,S17)/W17</f>
        <v>0.0026547526547526547</v>
      </c>
    </row>
    <row r="18" spans="1:24" ht="12.75">
      <c r="A18" s="6"/>
      <c r="B18" s="7"/>
      <c r="C18" s="6"/>
      <c r="D18" s="13"/>
      <c r="E18" s="14"/>
      <c r="F18" s="13"/>
      <c r="G18" s="7"/>
      <c r="H18" s="6"/>
      <c r="I18" s="13"/>
      <c r="J18" s="14"/>
      <c r="K18" s="13"/>
      <c r="L18" s="7"/>
      <c r="M18" s="6"/>
      <c r="N18" s="13"/>
      <c r="O18" s="14"/>
      <c r="P18" s="13"/>
      <c r="Q18" s="7"/>
      <c r="R18" s="6"/>
      <c r="S18" s="13"/>
      <c r="T18" s="14"/>
      <c r="U18" s="13"/>
      <c r="V18" s="7"/>
      <c r="X18" s="13"/>
    </row>
    <row r="19" spans="1:24" ht="12.75">
      <c r="A19" s="6"/>
      <c r="B19" s="7"/>
      <c r="C19" s="6"/>
      <c r="D19" s="13"/>
      <c r="E19" s="14"/>
      <c r="F19" s="13"/>
      <c r="G19" s="7"/>
      <c r="H19" s="6"/>
      <c r="I19" s="13"/>
      <c r="J19" s="14"/>
      <c r="K19" s="13"/>
      <c r="L19" s="7"/>
      <c r="M19" s="6"/>
      <c r="N19" s="13"/>
      <c r="O19" s="14"/>
      <c r="P19" s="13"/>
      <c r="Q19" s="7"/>
      <c r="R19" s="6"/>
      <c r="S19" s="13"/>
      <c r="T19" s="14"/>
      <c r="U19" s="13"/>
      <c r="V19" s="7"/>
      <c r="W19" s="28" t="s">
        <v>39</v>
      </c>
      <c r="X19" s="27" t="s">
        <v>40</v>
      </c>
    </row>
    <row r="20" spans="1:24" ht="12.75">
      <c r="A20" s="9"/>
      <c r="B20" s="131" t="s">
        <v>31</v>
      </c>
      <c r="C20" s="12" t="s">
        <v>11</v>
      </c>
      <c r="D20" s="19" t="s">
        <v>7</v>
      </c>
      <c r="E20" s="21" t="s">
        <v>32</v>
      </c>
      <c r="F20" s="19" t="s">
        <v>8</v>
      </c>
      <c r="H20" s="12" t="s">
        <v>11</v>
      </c>
      <c r="I20" s="19" t="s">
        <v>7</v>
      </c>
      <c r="J20" s="21" t="s">
        <v>32</v>
      </c>
      <c r="K20" s="19" t="s">
        <v>8</v>
      </c>
      <c r="M20" s="12" t="s">
        <v>11</v>
      </c>
      <c r="N20" s="19" t="s">
        <v>7</v>
      </c>
      <c r="O20" s="21" t="s">
        <v>32</v>
      </c>
      <c r="P20" s="19" t="s">
        <v>8</v>
      </c>
      <c r="R20" s="12" t="s">
        <v>11</v>
      </c>
      <c r="S20" s="19" t="s">
        <v>7</v>
      </c>
      <c r="T20" s="21" t="s">
        <v>32</v>
      </c>
      <c r="U20" s="19" t="s">
        <v>8</v>
      </c>
      <c r="W20" s="24" t="s">
        <v>38</v>
      </c>
      <c r="X20" s="23" t="s">
        <v>8</v>
      </c>
    </row>
    <row r="21" spans="1:24" ht="12.75">
      <c r="A21" s="4"/>
      <c r="B21" s="130" t="str">
        <f>+'Team Selection'!J3</f>
        <v>Dale Nardella</v>
      </c>
      <c r="C21" s="141">
        <f>VLOOKUP($B21&amp;"1",Data!$C:$G,2,FALSE)</f>
        <v>2</v>
      </c>
      <c r="D21" s="142">
        <f>VLOOKUP($B21&amp;"1",Data!$C:$G,4,FALSE)</f>
        <v>0.009340277777777777</v>
      </c>
      <c r="E21" s="143">
        <f>VLOOKUP($B21&amp;"1",Data!$C:$G,5,FALSE)</f>
        <v>3.6</v>
      </c>
      <c r="F21" s="144">
        <f>+D21/E21</f>
        <v>0.0025945216049382716</v>
      </c>
      <c r="H21" s="141">
        <f>VLOOKUP($B21&amp;"2",Data!$C:$G,2,FALSE)</f>
        <v>6</v>
      </c>
      <c r="I21" s="142">
        <f>VLOOKUP($B21&amp;"2",Data!$C:$G,4,FALSE)</f>
        <v>0.008657407407407407</v>
      </c>
      <c r="J21" s="143">
        <f>VLOOKUP($B21&amp;"2",Data!$C:$G,5,FALSE)</f>
        <v>3.25</v>
      </c>
      <c r="K21" s="144">
        <f>+I21/J21</f>
        <v>0.0026638176638176638</v>
      </c>
      <c r="M21" s="141" t="str">
        <f>VLOOKUP($B21&amp;"3",Data!$C:$G,2,FALSE)</f>
        <v>8 #2</v>
      </c>
      <c r="N21" s="142">
        <f>VLOOKUP($B21&amp;"3",Data!$C:$G,4,FALSE)</f>
        <v>0.008055555555555555</v>
      </c>
      <c r="O21" s="143">
        <f>VLOOKUP($B21&amp;"3",Data!$C:$G,5,FALSE)</f>
        <v>3</v>
      </c>
      <c r="P21" s="144">
        <f>+N21/O21</f>
        <v>0.002685185185185185</v>
      </c>
      <c r="R21" s="141">
        <f>VLOOKUP($B21&amp;"4",Data!$C:$G,2,FALSE)</f>
        <v>14</v>
      </c>
      <c r="S21" s="142">
        <f>VLOOKUP($B21&amp;"4",Data!$C:$G,4,FALSE)</f>
        <v>0.009293981481481481</v>
      </c>
      <c r="T21" s="143">
        <f>VLOOKUP($B21&amp;"4",Data!$C:$G,5,FALSE)</f>
        <v>3.7</v>
      </c>
      <c r="U21" s="144">
        <f>+S21/T21</f>
        <v>0.0025118868868868865</v>
      </c>
      <c r="W21" s="148">
        <f>SUM(E21,J21,O21,T21)</f>
        <v>13.55</v>
      </c>
      <c r="X21" s="144">
        <f>SUM(D21,I21,N21,S21)/W21</f>
        <v>0.0026086510865108653</v>
      </c>
    </row>
    <row r="22" spans="1:24" ht="12.75">
      <c r="A22" s="5"/>
      <c r="B22" s="130" t="str">
        <f>+'Team Selection'!J4</f>
        <v>John Hand</v>
      </c>
      <c r="C22" s="145">
        <f>VLOOKUP($B22&amp;"1",Data!$C:$G,2,FALSE)</f>
        <v>2</v>
      </c>
      <c r="D22" s="13">
        <f>VLOOKUP($B22&amp;"1",Data!$C:$G,4,FALSE)</f>
        <v>0.010185185185185184</v>
      </c>
      <c r="E22" s="14">
        <f>VLOOKUP($B22&amp;"1",Data!$C:$G,5,FALSE)</f>
        <v>3.6</v>
      </c>
      <c r="F22" s="15">
        <f>+D22/E22</f>
        <v>0.0028292181069958845</v>
      </c>
      <c r="H22" s="145">
        <f>VLOOKUP($B22&amp;"2",Data!$C:$G,2,FALSE)</f>
        <v>6</v>
      </c>
      <c r="I22" s="13">
        <f>VLOOKUP($B22&amp;"2",Data!$C:$G,4,FALSE)</f>
        <v>0.00912037037037037</v>
      </c>
      <c r="J22" s="14">
        <f>VLOOKUP($B22&amp;"2",Data!$C:$G,5,FALSE)</f>
        <v>3.25</v>
      </c>
      <c r="K22" s="15">
        <f>+I22/J22</f>
        <v>0.0028062678062678063</v>
      </c>
      <c r="M22" s="145" t="str">
        <f>VLOOKUP($B22&amp;"3",Data!$C:$G,2,FALSE)</f>
        <v>8 #2</v>
      </c>
      <c r="N22" s="13">
        <f>VLOOKUP($B22&amp;"3",Data!$C:$G,4,FALSE)</f>
        <v>0.009363425925925926</v>
      </c>
      <c r="O22" s="14">
        <f>VLOOKUP($B22&amp;"3",Data!$C:$G,5,FALSE)</f>
        <v>3</v>
      </c>
      <c r="P22" s="15">
        <f>+N22/O22</f>
        <v>0.003121141975308642</v>
      </c>
      <c r="R22" s="145">
        <f>VLOOKUP($B22&amp;"4",Data!$C:$G,2,FALSE)</f>
        <v>14</v>
      </c>
      <c r="S22" s="13">
        <f>VLOOKUP($B22&amp;"4",Data!$C:$G,4,FALSE)</f>
        <v>0.012037037037037035</v>
      </c>
      <c r="T22" s="14">
        <f>VLOOKUP($B22&amp;"4",Data!$C:$G,5,FALSE)</f>
        <v>3.7</v>
      </c>
      <c r="U22" s="15">
        <f>+S22/T22</f>
        <v>0.003253253253253253</v>
      </c>
      <c r="W22" s="149">
        <f>SUM(E22,J22,O22,T22)</f>
        <v>13.55</v>
      </c>
      <c r="X22" s="15">
        <f>SUM(D22,I22,N22,S22)/W22</f>
        <v>0.0030041342080087464</v>
      </c>
    </row>
    <row r="23" spans="1:24" ht="12.75">
      <c r="A23" s="5"/>
      <c r="B23" s="130" t="str">
        <f>+'Team Selection'!J5</f>
        <v>Rory Heddles</v>
      </c>
      <c r="C23" s="145">
        <f>VLOOKUP($B23&amp;"1",Data!$C:$G,2,FALSE)</f>
        <v>2</v>
      </c>
      <c r="D23" s="13">
        <f>VLOOKUP($B23&amp;"1",Data!$C:$G,4,FALSE)</f>
        <v>0.009375</v>
      </c>
      <c r="E23" s="14">
        <f>VLOOKUP($B23&amp;"1",Data!$C:$G,5,FALSE)</f>
        <v>3.6</v>
      </c>
      <c r="F23" s="15">
        <f>+D23/E23</f>
        <v>0.0026041666666666665</v>
      </c>
      <c r="H23" s="145">
        <f>VLOOKUP($B23&amp;"2",Data!$C:$G,2,FALSE)</f>
        <v>6</v>
      </c>
      <c r="I23" s="13">
        <f>VLOOKUP($B23&amp;"2",Data!$C:$G,4,FALSE)</f>
        <v>0.008622685185185185</v>
      </c>
      <c r="J23" s="14">
        <f>VLOOKUP($B23&amp;"2",Data!$C:$G,5,FALSE)</f>
        <v>3.25</v>
      </c>
      <c r="K23" s="15">
        <f>+I23/J23</f>
        <v>0.002653133903133903</v>
      </c>
      <c r="M23" s="145" t="str">
        <f>VLOOKUP($B23&amp;"3",Data!$C:$G,2,FALSE)</f>
        <v>8 #1</v>
      </c>
      <c r="N23" s="13">
        <f>VLOOKUP($B23&amp;"3",Data!$C:$G,4,FALSE)</f>
        <v>0.007986111111111112</v>
      </c>
      <c r="O23" s="14">
        <f>VLOOKUP($B23&amp;"3",Data!$C:$G,5,FALSE)</f>
        <v>3</v>
      </c>
      <c r="P23" s="15">
        <f>+N23/O23</f>
        <v>0.0026620370370370374</v>
      </c>
      <c r="R23" s="145">
        <f>VLOOKUP($B23&amp;"4",Data!$C:$G,2,FALSE)</f>
        <v>11</v>
      </c>
      <c r="S23" s="13">
        <f>VLOOKUP($B23&amp;"4",Data!$C:$G,4,FALSE)</f>
        <v>0.009421296296296296</v>
      </c>
      <c r="T23" s="14">
        <f>VLOOKUP($B23&amp;"4",Data!$C:$G,5,FALSE)</f>
        <v>4</v>
      </c>
      <c r="U23" s="15">
        <f>+S23/T23</f>
        <v>0.002355324074074074</v>
      </c>
      <c r="W23" s="149">
        <f>SUM(E23,J23,O23,T23)</f>
        <v>13.85</v>
      </c>
      <c r="X23" s="15">
        <f>SUM(D23,I23,N23,S23)/W23</f>
        <v>0.0025563243749164325</v>
      </c>
    </row>
    <row r="24" spans="3:24" ht="12.75">
      <c r="C24" s="6"/>
      <c r="D24" s="13"/>
      <c r="E24" s="14"/>
      <c r="F24" s="13"/>
      <c r="G24" s="7"/>
      <c r="H24" s="6"/>
      <c r="I24" s="13"/>
      <c r="J24" s="14"/>
      <c r="K24" s="13"/>
      <c r="L24" s="7"/>
      <c r="M24" s="6"/>
      <c r="N24" s="13"/>
      <c r="O24" s="14"/>
      <c r="P24" s="13"/>
      <c r="Q24" s="7"/>
      <c r="R24" s="6"/>
      <c r="S24" s="13"/>
      <c r="T24" s="14"/>
      <c r="U24" s="13"/>
      <c r="X24" s="13"/>
    </row>
  </sheetData>
  <sheetProtection/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4.00390625" style="16" customWidth="1"/>
    <col min="2" max="2" width="9.140625" style="16" customWidth="1"/>
    <col min="3" max="3" width="20.00390625" style="16" customWidth="1"/>
    <col min="4" max="4" width="9.140625" style="16" customWidth="1"/>
    <col min="5" max="5" width="20.7109375" style="0" customWidth="1"/>
  </cols>
  <sheetData>
    <row r="1" spans="1:7" ht="12.75">
      <c r="A1" s="16" t="s">
        <v>54</v>
      </c>
      <c r="B1" s="16" t="s">
        <v>0</v>
      </c>
      <c r="D1" s="16" t="s">
        <v>11</v>
      </c>
      <c r="E1" s="16" t="s">
        <v>37</v>
      </c>
      <c r="F1" s="16" t="s">
        <v>7</v>
      </c>
      <c r="G1" s="16" t="s">
        <v>38</v>
      </c>
    </row>
    <row r="2" spans="1:7" ht="12.75">
      <c r="A2" s="16">
        <f>COUNTIF(E$2:E2,E2)</f>
        <v>1</v>
      </c>
      <c r="B2" s="16">
        <v>1</v>
      </c>
      <c r="C2" s="16" t="str">
        <f>E2&amp;A2</f>
        <v>Andrew Coles1</v>
      </c>
      <c r="D2" s="16" t="s">
        <v>49</v>
      </c>
      <c r="E2" t="str">
        <f>+'Stage  Entry'!H4</f>
        <v>Andrew Coles</v>
      </c>
      <c r="F2" s="132">
        <f>+'Stage  Entry'!I4</f>
        <v>0.007604166666666666</v>
      </c>
      <c r="G2" s="17">
        <f aca="true" t="shared" si="0" ref="G2:G7">+Dist1</f>
        <v>3</v>
      </c>
    </row>
    <row r="3" spans="1:7" ht="12.75">
      <c r="A3" s="16">
        <f>COUNTIF(E$2:E3,E3)</f>
        <v>1</v>
      </c>
      <c r="B3" s="16">
        <v>2</v>
      </c>
      <c r="C3" s="16" t="str">
        <f aca="true" t="shared" si="1" ref="C3:C30">E3&amp;A3</f>
        <v>Stephen Paine1</v>
      </c>
      <c r="D3" s="16" t="s">
        <v>49</v>
      </c>
      <c r="E3" t="str">
        <f>+'Stage  Entry'!H5</f>
        <v>Stephen Paine</v>
      </c>
      <c r="F3" s="132">
        <f>+'Stage  Entry'!I5</f>
        <v>0.007337962962962963</v>
      </c>
      <c r="G3" s="17">
        <f t="shared" si="0"/>
        <v>3</v>
      </c>
    </row>
    <row r="4" spans="1:7" ht="12.75">
      <c r="A4" s="16">
        <f>COUNTIF(E$2:E4,E4)</f>
        <v>1</v>
      </c>
      <c r="B4" s="16">
        <v>3</v>
      </c>
      <c r="C4" s="16" t="str">
        <f t="shared" si="1"/>
        <v>David Venour1</v>
      </c>
      <c r="D4" s="16" t="s">
        <v>49</v>
      </c>
      <c r="E4" t="str">
        <f>+'Stage  Entry'!H6</f>
        <v>David Venour</v>
      </c>
      <c r="F4" s="132">
        <f>+'Stage  Entry'!I6</f>
        <v>0.007881944444444443</v>
      </c>
      <c r="G4" s="17">
        <f t="shared" si="0"/>
        <v>3</v>
      </c>
    </row>
    <row r="5" spans="1:7" ht="12.75">
      <c r="A5" s="16">
        <f>COUNTIF(E$2:E5,E5)</f>
        <v>1</v>
      </c>
      <c r="B5" s="16">
        <v>1</v>
      </c>
      <c r="C5" s="16" t="str">
        <f t="shared" si="1"/>
        <v>Katie Seibold1</v>
      </c>
      <c r="D5" s="16" t="s">
        <v>50</v>
      </c>
      <c r="E5" t="str">
        <f>+'Stage  Entry'!M4</f>
        <v>Katie Seibold</v>
      </c>
      <c r="F5" s="132">
        <f>+'Stage  Entry'!N4</f>
        <v>0.008136574074074074</v>
      </c>
      <c r="G5" s="17">
        <f t="shared" si="0"/>
        <v>3</v>
      </c>
    </row>
    <row r="6" spans="1:7" ht="12.75">
      <c r="A6" s="16">
        <f>COUNTIF(E$2:E6,E6)</f>
        <v>1</v>
      </c>
      <c r="B6" s="16">
        <v>2</v>
      </c>
      <c r="C6" s="16" t="str">
        <f t="shared" si="1"/>
        <v>Norval Hope1</v>
      </c>
      <c r="D6" s="16" t="s">
        <v>50</v>
      </c>
      <c r="E6" t="str">
        <f>+'Stage  Entry'!M5</f>
        <v>Norval Hope</v>
      </c>
      <c r="F6" s="132">
        <f>+'Stage  Entry'!N5</f>
        <v>0.008055555555555555</v>
      </c>
      <c r="G6" s="17">
        <f t="shared" si="0"/>
        <v>3</v>
      </c>
    </row>
    <row r="7" spans="1:7" ht="12.75">
      <c r="A7" s="16">
        <f>COUNTIF(E$2:E7,E7)</f>
        <v>1</v>
      </c>
      <c r="B7" s="16">
        <v>3</v>
      </c>
      <c r="C7" s="16" t="str">
        <f t="shared" si="1"/>
        <v>John Charles1</v>
      </c>
      <c r="D7" s="16" t="s">
        <v>50</v>
      </c>
      <c r="E7" t="str">
        <f>+'Stage  Entry'!M6</f>
        <v>John Charles</v>
      </c>
      <c r="F7" s="132">
        <f>+'Stage  Entry'!N6</f>
        <v>0.0078125</v>
      </c>
      <c r="G7" s="17">
        <f t="shared" si="0"/>
        <v>3</v>
      </c>
    </row>
    <row r="8" spans="1:7" ht="12.75">
      <c r="A8" s="16">
        <f>COUNTIF(E$2:E8,E8)</f>
        <v>1</v>
      </c>
      <c r="B8" s="16">
        <v>1</v>
      </c>
      <c r="C8" s="16" t="str">
        <f t="shared" si="1"/>
        <v>Dale Nardella1</v>
      </c>
      <c r="D8" s="16">
        <v>2</v>
      </c>
      <c r="E8" t="str">
        <f>+'Stage  Entry'!W4</f>
        <v>Dale Nardella</v>
      </c>
      <c r="F8" s="132">
        <f>+'Stage  Entry'!X4</f>
        <v>0.009340277777777777</v>
      </c>
      <c r="G8" s="17">
        <f>+Dist2</f>
        <v>3.6</v>
      </c>
    </row>
    <row r="9" spans="1:7" ht="12.75">
      <c r="A9" s="16">
        <f>COUNTIF(E$2:E9,E9)</f>
        <v>1</v>
      </c>
      <c r="B9" s="16">
        <v>2</v>
      </c>
      <c r="C9" s="16" t="str">
        <f t="shared" si="1"/>
        <v>John Hand1</v>
      </c>
      <c r="D9" s="16">
        <v>2</v>
      </c>
      <c r="E9" t="str">
        <f>+'Stage  Entry'!W5</f>
        <v>John Hand</v>
      </c>
      <c r="F9" s="132">
        <f>+'Stage  Entry'!X5</f>
        <v>0.010185185185185184</v>
      </c>
      <c r="G9" s="17">
        <f>+Dist2</f>
        <v>3.6</v>
      </c>
    </row>
    <row r="10" spans="1:7" ht="12.75">
      <c r="A10" s="16">
        <f>COUNTIF(E$2:E10,E10)</f>
        <v>1</v>
      </c>
      <c r="B10" s="16">
        <v>3</v>
      </c>
      <c r="C10" s="16" t="str">
        <f t="shared" si="1"/>
        <v>Rory Heddles1</v>
      </c>
      <c r="D10" s="16">
        <v>2</v>
      </c>
      <c r="E10" t="str">
        <f>+'Stage  Entry'!W6</f>
        <v>Rory Heddles</v>
      </c>
      <c r="F10" s="132">
        <f>+'Stage  Entry'!X6</f>
        <v>0.009375</v>
      </c>
      <c r="G10" s="17">
        <f>+Dist2</f>
        <v>3.6</v>
      </c>
    </row>
    <row r="11" spans="1:7" ht="12.75">
      <c r="A11" s="16">
        <f>COUNTIF(E$2:E11,E11)</f>
        <v>1</v>
      </c>
      <c r="B11" s="16">
        <v>1</v>
      </c>
      <c r="C11" s="16" t="str">
        <f t="shared" si="1"/>
        <v>Tony Hally1</v>
      </c>
      <c r="D11" s="16">
        <v>3</v>
      </c>
      <c r="E11" t="str">
        <f>+'Stage  Entry'!AB4</f>
        <v>Tony Hally</v>
      </c>
      <c r="F11" s="132">
        <f>+'Stage  Entry'!AC4</f>
        <v>0.01074074074074074</v>
      </c>
      <c r="G11" s="17">
        <f>+Dist3</f>
        <v>3.9</v>
      </c>
    </row>
    <row r="12" spans="1:7" ht="12.75">
      <c r="A12" s="16">
        <f>COUNTIF(E$2:E12,E12)</f>
        <v>1</v>
      </c>
      <c r="B12" s="16">
        <v>2</v>
      </c>
      <c r="C12" s="16" t="str">
        <f t="shared" si="1"/>
        <v>Thai Phan1</v>
      </c>
      <c r="D12" s="16">
        <v>3</v>
      </c>
      <c r="E12" t="str">
        <f>+'Stage  Entry'!AB5</f>
        <v>Thai Phan</v>
      </c>
      <c r="F12" s="132">
        <f>+'Stage  Entry'!AC5</f>
        <v>0.010868055555555556</v>
      </c>
      <c r="G12" s="17">
        <f>+Dist3</f>
        <v>3.9</v>
      </c>
    </row>
    <row r="13" spans="1:7" ht="12.75">
      <c r="A13" s="16">
        <f>COUNTIF(E$2:E13,E13)</f>
        <v>1</v>
      </c>
      <c r="B13" s="16">
        <v>3</v>
      </c>
      <c r="C13" s="16" t="str">
        <f t="shared" si="1"/>
        <v>Garth Calder1</v>
      </c>
      <c r="D13" s="16">
        <v>3</v>
      </c>
      <c r="E13" t="str">
        <f>+'Stage  Entry'!AB6</f>
        <v>Garth Calder</v>
      </c>
      <c r="F13" s="132">
        <f>+'Stage  Entry'!AC6</f>
        <v>0.010833333333333334</v>
      </c>
      <c r="G13" s="17">
        <f>+Dist3</f>
        <v>3.9</v>
      </c>
    </row>
    <row r="14" spans="1:7" ht="12.75">
      <c r="A14" s="16">
        <f>COUNTIF(E$2:E14,E14)</f>
        <v>2</v>
      </c>
      <c r="B14" s="16">
        <v>1</v>
      </c>
      <c r="C14" s="16" t="str">
        <f t="shared" si="1"/>
        <v>Katie Seibold2</v>
      </c>
      <c r="D14" s="16">
        <v>4</v>
      </c>
      <c r="E14" t="str">
        <f>+'Stage  Entry'!AG4</f>
        <v>Katie Seibold</v>
      </c>
      <c r="F14" s="132">
        <f>+'Stage  Entry'!AH4</f>
        <v>0.011076388888888887</v>
      </c>
      <c r="G14" s="17">
        <f>+Dist4</f>
        <v>4.2</v>
      </c>
    </row>
    <row r="15" spans="1:7" ht="12.75">
      <c r="A15" s="16">
        <f>COUNTIF(E$2:E15,E15)</f>
        <v>2</v>
      </c>
      <c r="B15" s="16">
        <v>2</v>
      </c>
      <c r="C15" s="16" t="str">
        <f t="shared" si="1"/>
        <v>Norval Hope2</v>
      </c>
      <c r="D15" s="16">
        <v>4</v>
      </c>
      <c r="E15" t="str">
        <f>+'Stage  Entry'!AG5</f>
        <v>Norval Hope</v>
      </c>
      <c r="F15" s="132">
        <f>+'Stage  Entry'!AH5</f>
        <v>0.011087962962962964</v>
      </c>
      <c r="G15" s="17">
        <f>+Dist4</f>
        <v>4.2</v>
      </c>
    </row>
    <row r="16" spans="1:7" ht="12.75">
      <c r="A16" s="16">
        <f>COUNTIF(E$2:E16,E16)</f>
        <v>2</v>
      </c>
      <c r="B16" s="16">
        <v>3</v>
      </c>
      <c r="C16" s="16" t="str">
        <f t="shared" si="1"/>
        <v>John Charles2</v>
      </c>
      <c r="D16" s="16">
        <v>4</v>
      </c>
      <c r="E16" t="str">
        <f>+'Stage  Entry'!AG6</f>
        <v>John Charles</v>
      </c>
      <c r="F16" s="132">
        <f>+'Stage  Entry'!AH6</f>
        <v>0.010289351851851852</v>
      </c>
      <c r="G16" s="17">
        <f>+Dist4</f>
        <v>4.2</v>
      </c>
    </row>
    <row r="17" spans="1:7" ht="12.75">
      <c r="A17" s="16">
        <f>COUNTIF(E$2:E17,E17)</f>
        <v>2</v>
      </c>
      <c r="B17" s="16">
        <v>1</v>
      </c>
      <c r="C17" s="16" t="str">
        <f t="shared" si="1"/>
        <v>Andrew Coles2</v>
      </c>
      <c r="D17" s="16">
        <v>5</v>
      </c>
      <c r="E17" t="str">
        <f>+'Stage  Entry'!AL4</f>
        <v>Andrew Coles</v>
      </c>
      <c r="F17" s="132">
        <f>+'Stage  Entry'!AM4</f>
        <v>0.01019675925925926</v>
      </c>
      <c r="G17" s="17">
        <f>+Dist5</f>
        <v>4.7</v>
      </c>
    </row>
    <row r="18" spans="1:7" ht="12.75">
      <c r="A18" s="16">
        <f>COUNTIF(E$2:E18,E18)</f>
        <v>2</v>
      </c>
      <c r="B18" s="16">
        <v>2</v>
      </c>
      <c r="C18" s="16" t="str">
        <f t="shared" si="1"/>
        <v>Stephen Paine2</v>
      </c>
      <c r="D18" s="16">
        <v>5</v>
      </c>
      <c r="E18" t="str">
        <f>+'Stage  Entry'!AL5</f>
        <v>Stephen Paine</v>
      </c>
      <c r="F18" s="132">
        <f>+'Stage  Entry'!AM5</f>
        <v>0.010439814814814813</v>
      </c>
      <c r="G18" s="17">
        <f>+Dist5</f>
        <v>4.7</v>
      </c>
    </row>
    <row r="19" spans="1:7" ht="12.75">
      <c r="A19" s="16">
        <f>COUNTIF(E$2:E19,E19)</f>
        <v>2</v>
      </c>
      <c r="B19" s="16">
        <v>3</v>
      </c>
      <c r="C19" s="16" t="str">
        <f t="shared" si="1"/>
        <v>David Venour2</v>
      </c>
      <c r="D19" s="16">
        <v>5</v>
      </c>
      <c r="E19" t="str">
        <f>+'Stage  Entry'!AL6</f>
        <v>David Venour</v>
      </c>
      <c r="F19" s="132">
        <f>+'Stage  Entry'!AM6</f>
        <v>0.010902777777777777</v>
      </c>
      <c r="G19" s="17">
        <f>+Dist5</f>
        <v>4.7</v>
      </c>
    </row>
    <row r="20" spans="1:7" ht="12.75">
      <c r="A20" s="16">
        <f>COUNTIF(E$2:E20,E20)</f>
        <v>2</v>
      </c>
      <c r="B20" s="16">
        <v>1</v>
      </c>
      <c r="C20" s="16" t="str">
        <f t="shared" si="1"/>
        <v>Dale Nardella2</v>
      </c>
      <c r="D20" s="16">
        <v>6</v>
      </c>
      <c r="E20" t="str">
        <f>+'Stage  Entry'!AQ4</f>
        <v>Dale Nardella</v>
      </c>
      <c r="F20" s="132">
        <f>+'Stage  Entry'!AR4</f>
        <v>0.008657407407407407</v>
      </c>
      <c r="G20" s="17">
        <f>+Dist6</f>
        <v>3.25</v>
      </c>
    </row>
    <row r="21" spans="1:7" ht="12.75">
      <c r="A21" s="16">
        <f>COUNTIF(E$2:E21,E21)</f>
        <v>2</v>
      </c>
      <c r="B21" s="16">
        <v>2</v>
      </c>
      <c r="C21" s="16" t="str">
        <f t="shared" si="1"/>
        <v>John Hand2</v>
      </c>
      <c r="D21" s="16">
        <v>6</v>
      </c>
      <c r="E21" t="str">
        <f>+'Stage  Entry'!AQ5</f>
        <v>John Hand</v>
      </c>
      <c r="F21" s="132">
        <f>+'Stage  Entry'!AR5</f>
        <v>0.00912037037037037</v>
      </c>
      <c r="G21" s="17">
        <f>+Dist6</f>
        <v>3.25</v>
      </c>
    </row>
    <row r="22" spans="1:7" ht="12.75">
      <c r="A22" s="16">
        <f>COUNTIF(E$2:E22,E22)</f>
        <v>2</v>
      </c>
      <c r="B22" s="16">
        <v>3</v>
      </c>
      <c r="C22" s="16" t="str">
        <f t="shared" si="1"/>
        <v>Rory Heddles2</v>
      </c>
      <c r="D22" s="16">
        <v>6</v>
      </c>
      <c r="E22" t="str">
        <f>+'Stage  Entry'!AQ6</f>
        <v>Rory Heddles</v>
      </c>
      <c r="F22" s="132">
        <f>+'Stage  Entry'!AR6</f>
        <v>0.008622685185185185</v>
      </c>
      <c r="G22" s="17">
        <f>+Dist6</f>
        <v>3.25</v>
      </c>
    </row>
    <row r="23" spans="1:7" ht="12.75">
      <c r="A23" s="16">
        <f>COUNTIF(E$2:E23,E23)</f>
        <v>2</v>
      </c>
      <c r="B23" s="16">
        <v>1</v>
      </c>
      <c r="C23" s="16" t="str">
        <f t="shared" si="1"/>
        <v>Tony Hally2</v>
      </c>
      <c r="D23" s="16">
        <v>7</v>
      </c>
      <c r="E23" t="str">
        <f>+'Stage  Entry'!AV4</f>
        <v>Tony Hally</v>
      </c>
      <c r="F23" s="132">
        <f>+'Stage  Entry'!AW4</f>
        <v>0.00949074074074074</v>
      </c>
      <c r="G23" s="17">
        <f>+Dist7</f>
        <v>3.7</v>
      </c>
    </row>
    <row r="24" spans="1:7" ht="12.75">
      <c r="A24" s="16">
        <f>COUNTIF(E$2:E24,E24)</f>
        <v>2</v>
      </c>
      <c r="B24" s="16">
        <v>2</v>
      </c>
      <c r="C24" s="16" t="str">
        <f t="shared" si="1"/>
        <v>Thai Phan2</v>
      </c>
      <c r="D24" s="16">
        <v>7</v>
      </c>
      <c r="E24" t="str">
        <f>+'Stage  Entry'!AV5</f>
        <v>Thai Phan</v>
      </c>
      <c r="F24" s="132">
        <f>+'Stage  Entry'!AW5</f>
        <v>0.009247685185185185</v>
      </c>
      <c r="G24" s="17">
        <f>+Dist7</f>
        <v>3.7</v>
      </c>
    </row>
    <row r="25" spans="1:7" ht="12.75">
      <c r="A25" s="16">
        <f>COUNTIF(E$2:E25,E25)</f>
        <v>2</v>
      </c>
      <c r="B25" s="16">
        <v>3</v>
      </c>
      <c r="C25" s="16" t="str">
        <f t="shared" si="1"/>
        <v>Garth Calder2</v>
      </c>
      <c r="D25" s="16">
        <v>7</v>
      </c>
      <c r="E25" t="str">
        <f>+'Stage  Entry'!AV6</f>
        <v>Garth Calder</v>
      </c>
      <c r="F25" s="132">
        <f>+'Stage  Entry'!AW6</f>
        <v>0.00954861111111111</v>
      </c>
      <c r="G25" s="17">
        <f>+Dist7</f>
        <v>3.7</v>
      </c>
    </row>
    <row r="26" spans="1:7" ht="12.75">
      <c r="A26" s="16">
        <f>COUNTIF(E$2:E26,E26)</f>
        <v>3</v>
      </c>
      <c r="B26" s="16">
        <v>1</v>
      </c>
      <c r="C26" s="16" t="str">
        <f t="shared" si="1"/>
        <v>Tony Hally3</v>
      </c>
      <c r="D26" s="16" t="s">
        <v>51</v>
      </c>
      <c r="E26" t="str">
        <f>+'Stage  Entry'!H10</f>
        <v>Tony Hally</v>
      </c>
      <c r="F26" s="132">
        <f>+'Stage  Entry'!I10</f>
        <v>0.007962962962962963</v>
      </c>
      <c r="G26" s="17">
        <f aca="true" t="shared" si="2" ref="G26:G31">+Dist8</f>
        <v>3</v>
      </c>
    </row>
    <row r="27" spans="1:7" ht="12.75">
      <c r="A27" s="16">
        <f>COUNTIF(E$2:E27,E27)</f>
        <v>3</v>
      </c>
      <c r="B27" s="16">
        <v>2</v>
      </c>
      <c r="C27" s="16" t="str">
        <f t="shared" si="1"/>
        <v>Thai Phan3</v>
      </c>
      <c r="D27" s="16" t="s">
        <v>51</v>
      </c>
      <c r="E27" t="str">
        <f>+'Stage  Entry'!H11</f>
        <v>Thai Phan</v>
      </c>
      <c r="F27" s="132">
        <f>+'Stage  Entry'!I11</f>
        <v>0.008101851851851851</v>
      </c>
      <c r="G27" s="17">
        <f t="shared" si="2"/>
        <v>3</v>
      </c>
    </row>
    <row r="28" spans="1:7" ht="12.75">
      <c r="A28" s="16">
        <f>COUNTIF(E$2:E28,E28)</f>
        <v>3</v>
      </c>
      <c r="B28" s="16">
        <v>3</v>
      </c>
      <c r="C28" s="16" t="str">
        <f t="shared" si="1"/>
        <v>Rory Heddles3</v>
      </c>
      <c r="D28" s="16" t="s">
        <v>51</v>
      </c>
      <c r="E28" t="str">
        <f>+'Stage  Entry'!H12</f>
        <v>Rory Heddles</v>
      </c>
      <c r="F28" s="132">
        <f>+'Stage  Entry'!I12</f>
        <v>0.007986111111111112</v>
      </c>
      <c r="G28" s="17">
        <f t="shared" si="2"/>
        <v>3</v>
      </c>
    </row>
    <row r="29" spans="1:7" ht="12.75">
      <c r="A29" s="16">
        <f>COUNTIF(E$2:E29,E29)</f>
        <v>3</v>
      </c>
      <c r="B29" s="16">
        <v>1</v>
      </c>
      <c r="C29" s="16" t="str">
        <f t="shared" si="1"/>
        <v>Dale Nardella3</v>
      </c>
      <c r="D29" s="16" t="s">
        <v>52</v>
      </c>
      <c r="E29" t="str">
        <f>+'Stage  Entry'!M10</f>
        <v>Dale Nardella</v>
      </c>
      <c r="F29" s="132">
        <f>+'Stage  Entry'!N10</f>
        <v>0.008055555555555555</v>
      </c>
      <c r="G29" s="17">
        <f t="shared" si="2"/>
        <v>3</v>
      </c>
    </row>
    <row r="30" spans="1:7" ht="12.75">
      <c r="A30" s="16">
        <f>COUNTIF(E$2:E30,E30)</f>
        <v>3</v>
      </c>
      <c r="B30" s="16">
        <v>2</v>
      </c>
      <c r="C30" s="16" t="str">
        <f t="shared" si="1"/>
        <v>John Hand3</v>
      </c>
      <c r="D30" s="16" t="s">
        <v>52</v>
      </c>
      <c r="E30" t="str">
        <f>+'Stage  Entry'!M11</f>
        <v>John Hand</v>
      </c>
      <c r="F30" s="132">
        <f>+'Stage  Entry'!N11</f>
        <v>0.009363425925925926</v>
      </c>
      <c r="G30" s="17">
        <f t="shared" si="2"/>
        <v>3</v>
      </c>
    </row>
    <row r="31" spans="1:7" ht="12.75">
      <c r="A31" s="16">
        <f>COUNTIF(E$2:E31,E31)</f>
        <v>3</v>
      </c>
      <c r="B31" s="16">
        <v>3</v>
      </c>
      <c r="C31" s="16" t="str">
        <f aca="true" t="shared" si="3" ref="C31:C49">E31&amp;A31</f>
        <v>Garth Calder3</v>
      </c>
      <c r="D31" s="16" t="s">
        <v>52</v>
      </c>
      <c r="E31" t="str">
        <f>+'Stage  Entry'!M12</f>
        <v>Garth Calder</v>
      </c>
      <c r="F31" s="132">
        <f>+'Stage  Entry'!N12</f>
        <v>0.008148148148148147</v>
      </c>
      <c r="G31" s="17">
        <f t="shared" si="2"/>
        <v>3</v>
      </c>
    </row>
    <row r="32" spans="1:7" ht="12.75">
      <c r="A32" s="16">
        <f>COUNTIF(E$2:E32,E32)</f>
        <v>3</v>
      </c>
      <c r="B32" s="16">
        <v>1</v>
      </c>
      <c r="C32" s="16" t="str">
        <f t="shared" si="3"/>
        <v>Katie Seibold3</v>
      </c>
      <c r="D32" s="16">
        <v>9</v>
      </c>
      <c r="E32" t="str">
        <f>+'Stage  Entry'!W10</f>
        <v>Katie Seibold</v>
      </c>
      <c r="F32" s="132">
        <f>+'Stage  Entry'!X10</f>
        <v>0.010868055555555556</v>
      </c>
      <c r="G32" s="17">
        <f>+Dist9</f>
        <v>3.6</v>
      </c>
    </row>
    <row r="33" spans="1:7" ht="12.75">
      <c r="A33" s="16">
        <f>COUNTIF(E$2:E33,E33)</f>
        <v>3</v>
      </c>
      <c r="B33" s="16">
        <v>2</v>
      </c>
      <c r="C33" s="16" t="str">
        <f t="shared" si="3"/>
        <v>Stephen Paine3</v>
      </c>
      <c r="D33" s="16">
        <v>9</v>
      </c>
      <c r="E33" t="str">
        <f>+'Stage  Entry'!W11</f>
        <v>Stephen Paine</v>
      </c>
      <c r="F33" s="132">
        <f>+'Stage  Entry'!X11</f>
        <v>0.009641203703703704</v>
      </c>
      <c r="G33" s="17">
        <f>+Dist9</f>
        <v>3.6</v>
      </c>
    </row>
    <row r="34" spans="1:7" ht="12.75">
      <c r="A34" s="16">
        <f>COUNTIF(E$2:E34,E34)</f>
        <v>3</v>
      </c>
      <c r="B34" s="16">
        <v>3</v>
      </c>
      <c r="C34" s="16" t="str">
        <f t="shared" si="3"/>
        <v>David Venour3</v>
      </c>
      <c r="D34" s="16">
        <v>9</v>
      </c>
      <c r="E34" t="str">
        <f>+'Stage  Entry'!W12</f>
        <v>David Venour</v>
      </c>
      <c r="F34" s="132">
        <f>+'Stage  Entry'!X12</f>
        <v>0.01056712962962963</v>
      </c>
      <c r="G34" s="17">
        <f>+Dist9</f>
        <v>3.6</v>
      </c>
    </row>
    <row r="35" spans="1:7" ht="12.75">
      <c r="A35" s="16">
        <f>COUNTIF(E$2:E35,E35)</f>
        <v>3</v>
      </c>
      <c r="B35" s="16">
        <v>1</v>
      </c>
      <c r="C35" s="16" t="str">
        <f t="shared" si="3"/>
        <v>Andrew Coles3</v>
      </c>
      <c r="D35" s="16">
        <v>10</v>
      </c>
      <c r="E35" t="str">
        <f>+'Stage  Entry'!AB10</f>
        <v>Andrew Coles</v>
      </c>
      <c r="F35" s="132">
        <f>+'Stage  Entry'!AC10</f>
        <v>0.010266203703703703</v>
      </c>
      <c r="G35" s="17">
        <f>+Dist10</f>
        <v>4.45</v>
      </c>
    </row>
    <row r="36" spans="1:7" ht="12.75">
      <c r="A36" s="16">
        <f>COUNTIF(E$2:E36,E36)</f>
        <v>3</v>
      </c>
      <c r="B36" s="16">
        <v>2</v>
      </c>
      <c r="C36" s="16" t="str">
        <f t="shared" si="3"/>
        <v>Norval Hope3</v>
      </c>
      <c r="D36" s="16">
        <v>10</v>
      </c>
      <c r="E36" t="str">
        <f>+'Stage  Entry'!AB11</f>
        <v>Norval Hope</v>
      </c>
      <c r="F36" s="132">
        <f>+'Stage  Entry'!AC11</f>
        <v>0.011423611111111112</v>
      </c>
      <c r="G36" s="17">
        <f>+Dist10</f>
        <v>4.45</v>
      </c>
    </row>
    <row r="37" spans="1:7" ht="12.75">
      <c r="A37" s="16">
        <f>COUNTIF(E$2:E37,E37)</f>
        <v>3</v>
      </c>
      <c r="B37" s="16">
        <v>3</v>
      </c>
      <c r="C37" s="16" t="str">
        <f t="shared" si="3"/>
        <v>John Charles3</v>
      </c>
      <c r="D37" s="16">
        <v>10</v>
      </c>
      <c r="E37" t="str">
        <f>+'Stage  Entry'!AB12</f>
        <v>John Charles</v>
      </c>
      <c r="F37" s="132">
        <f>+'Stage  Entry'!AC12</f>
        <v>0.010578703703703703</v>
      </c>
      <c r="G37" s="17">
        <f>+Dist10</f>
        <v>4.45</v>
      </c>
    </row>
    <row r="38" spans="1:7" ht="12.75">
      <c r="A38" s="16">
        <f>COUNTIF(E$2:E38,E38)</f>
        <v>4</v>
      </c>
      <c r="B38" s="16">
        <v>1</v>
      </c>
      <c r="C38" s="16" t="str">
        <f t="shared" si="3"/>
        <v>Tony Hally4</v>
      </c>
      <c r="D38" s="16">
        <v>11</v>
      </c>
      <c r="E38" t="str">
        <f>+'Stage  Entry'!AG10</f>
        <v>Tony Hally</v>
      </c>
      <c r="F38" s="132">
        <f>+'Stage  Entry'!AH10</f>
        <v>0.009421296296296296</v>
      </c>
      <c r="G38" s="17">
        <f>+Dist11</f>
        <v>4</v>
      </c>
    </row>
    <row r="39" spans="1:7" ht="12.75">
      <c r="A39" s="16">
        <f>COUNTIF(E$2:E39,E39)</f>
        <v>4</v>
      </c>
      <c r="B39" s="16">
        <v>2</v>
      </c>
      <c r="C39" s="16" t="str">
        <f t="shared" si="3"/>
        <v>Thai Phan4</v>
      </c>
      <c r="D39" s="16">
        <v>11</v>
      </c>
      <c r="E39" t="str">
        <f>+'Stage  Entry'!AG11</f>
        <v>Thai Phan</v>
      </c>
      <c r="F39" s="132">
        <f>+'Stage  Entry'!AH11</f>
        <v>0.009780092592592592</v>
      </c>
      <c r="G39" s="17">
        <f>+Dist11</f>
        <v>4</v>
      </c>
    </row>
    <row r="40" spans="1:7" ht="12.75">
      <c r="A40" s="16">
        <f>COUNTIF(E$2:E40,E40)</f>
        <v>4</v>
      </c>
      <c r="B40" s="16">
        <v>3</v>
      </c>
      <c r="C40" s="16" t="str">
        <f t="shared" si="3"/>
        <v>Rory Heddles4</v>
      </c>
      <c r="D40" s="16">
        <v>11</v>
      </c>
      <c r="E40" t="str">
        <f>+'Stage  Entry'!AG12</f>
        <v>Rory Heddles</v>
      </c>
      <c r="F40" s="132">
        <f>+'Stage  Entry'!AH12</f>
        <v>0.009421296296296296</v>
      </c>
      <c r="G40" s="17">
        <f>+Dist11</f>
        <v>4</v>
      </c>
    </row>
    <row r="41" spans="1:7" ht="12.75">
      <c r="A41" s="16">
        <f>COUNTIF(E$2:E41,E41)</f>
        <v>4</v>
      </c>
      <c r="B41" s="16">
        <v>1</v>
      </c>
      <c r="C41" s="16" t="str">
        <f t="shared" si="3"/>
        <v>Andrew Coles4</v>
      </c>
      <c r="D41" s="16">
        <v>12</v>
      </c>
      <c r="E41" t="str">
        <f>+'Stage  Entry'!AL10</f>
        <v>Andrew Coles</v>
      </c>
      <c r="F41" s="132">
        <f>+'Stage  Entry'!AM10</f>
        <v>0.009953703703703704</v>
      </c>
      <c r="G41" s="17">
        <f>+Dist12</f>
        <v>4</v>
      </c>
    </row>
    <row r="42" spans="1:7" ht="12.75">
      <c r="A42" s="16">
        <f>COUNTIF(E$2:E42,E42)</f>
        <v>4</v>
      </c>
      <c r="B42" s="16">
        <v>2</v>
      </c>
      <c r="C42" s="16" t="str">
        <f t="shared" si="3"/>
        <v>Stephen Paine4</v>
      </c>
      <c r="D42" s="16">
        <v>12</v>
      </c>
      <c r="E42" t="str">
        <f>+'Stage  Entry'!AL11</f>
        <v>Stephen Paine</v>
      </c>
      <c r="F42" s="132">
        <f>+'Stage  Entry'!AM11</f>
        <v>0.010347222222222223</v>
      </c>
      <c r="G42" s="17">
        <f>+Dist12</f>
        <v>4</v>
      </c>
    </row>
    <row r="43" spans="1:7" ht="12.75">
      <c r="A43" s="16">
        <f>COUNTIF(E$2:E43,E43)</f>
        <v>4</v>
      </c>
      <c r="B43" s="16">
        <v>3</v>
      </c>
      <c r="C43" s="16" t="str">
        <f t="shared" si="3"/>
        <v>David Venour4</v>
      </c>
      <c r="D43" s="16">
        <v>12</v>
      </c>
      <c r="E43" t="str">
        <f>+'Stage  Entry'!AL12</f>
        <v>David Venour</v>
      </c>
      <c r="F43" s="132">
        <f>+'Stage  Entry'!AM12</f>
        <v>0.011076388888888887</v>
      </c>
      <c r="G43" s="17">
        <f>+Dist12</f>
        <v>4</v>
      </c>
    </row>
    <row r="44" spans="1:7" ht="12.75">
      <c r="A44" s="16">
        <f>COUNTIF(E$2:E44,E44)</f>
        <v>4</v>
      </c>
      <c r="B44" s="16">
        <v>1</v>
      </c>
      <c r="C44" s="16" t="str">
        <f t="shared" si="3"/>
        <v>Katie Seibold4</v>
      </c>
      <c r="D44" s="16">
        <v>13</v>
      </c>
      <c r="E44" t="str">
        <f>+'Stage  Entry'!AQ10</f>
        <v>Katie Seibold</v>
      </c>
      <c r="F44" s="132">
        <f>+'Stage  Entry'!AR10</f>
        <v>0.011539351851851851</v>
      </c>
      <c r="G44" s="17">
        <f>+Dist13</f>
        <v>4.5</v>
      </c>
    </row>
    <row r="45" spans="1:7" ht="12.75">
      <c r="A45" s="16">
        <f>COUNTIF(E$2:E45,E45)</f>
        <v>4</v>
      </c>
      <c r="B45" s="16">
        <v>2</v>
      </c>
      <c r="C45" s="16" t="str">
        <f t="shared" si="3"/>
        <v>Norval Hope4</v>
      </c>
      <c r="D45" s="16">
        <v>13</v>
      </c>
      <c r="E45" t="str">
        <f>+'Stage  Entry'!AQ11</f>
        <v>Norval Hope</v>
      </c>
      <c r="F45" s="132">
        <f>+'Stage  Entry'!AR11</f>
        <v>0.011782407407407406</v>
      </c>
      <c r="G45" s="17">
        <f>+Dist13</f>
        <v>4.5</v>
      </c>
    </row>
    <row r="46" spans="1:7" ht="12.75">
      <c r="A46" s="16">
        <f>COUNTIF(E$2:E46,E46)</f>
        <v>4</v>
      </c>
      <c r="B46" s="16">
        <v>3</v>
      </c>
      <c r="C46" s="16" t="str">
        <f t="shared" si="3"/>
        <v>John Charles4</v>
      </c>
      <c r="D46" s="16">
        <v>13</v>
      </c>
      <c r="E46" t="str">
        <f>+'Stage  Entry'!AQ12</f>
        <v>John Charles</v>
      </c>
      <c r="F46" s="132">
        <f>+'Stage  Entry'!AR12</f>
        <v>0.010949074074074075</v>
      </c>
      <c r="G46" s="17">
        <f>+Dist13</f>
        <v>4.5</v>
      </c>
    </row>
    <row r="47" spans="1:7" ht="12.75">
      <c r="A47" s="16">
        <f>COUNTIF(E$2:E47,E47)</f>
        <v>4</v>
      </c>
      <c r="B47" s="16">
        <v>1</v>
      </c>
      <c r="C47" s="16" t="str">
        <f t="shared" si="3"/>
        <v>Dale Nardella4</v>
      </c>
      <c r="D47" s="16">
        <v>14</v>
      </c>
      <c r="E47" t="str">
        <f>+'Stage  Entry'!AV10</f>
        <v>Dale Nardella</v>
      </c>
      <c r="F47" s="132">
        <f>+'Stage  Entry'!AW10</f>
        <v>0.009293981481481481</v>
      </c>
      <c r="G47" s="17">
        <f>+Dist14</f>
        <v>3.7</v>
      </c>
    </row>
    <row r="48" spans="1:7" ht="12.75">
      <c r="A48" s="16">
        <f>COUNTIF(E$2:E48,E48)</f>
        <v>4</v>
      </c>
      <c r="B48" s="16">
        <v>2</v>
      </c>
      <c r="C48" s="16" t="str">
        <f t="shared" si="3"/>
        <v>John Hand4</v>
      </c>
      <c r="D48" s="16">
        <v>14</v>
      </c>
      <c r="E48" t="str">
        <f>+'Stage  Entry'!AV11</f>
        <v>John Hand</v>
      </c>
      <c r="F48" s="132">
        <f>+'Stage  Entry'!AW11</f>
        <v>0.012037037037037035</v>
      </c>
      <c r="G48" s="17">
        <f>+Dist14</f>
        <v>3.7</v>
      </c>
    </row>
    <row r="49" spans="1:7" ht="12.75">
      <c r="A49" s="16">
        <f>COUNTIF(E$2:E49,E49)</f>
        <v>4</v>
      </c>
      <c r="B49" s="16">
        <v>3</v>
      </c>
      <c r="C49" s="16" t="str">
        <f t="shared" si="3"/>
        <v>Garth Calder4</v>
      </c>
      <c r="D49" s="16">
        <v>14</v>
      </c>
      <c r="E49" t="str">
        <f>+'Stage  Entry'!AV12</f>
        <v>Garth Calder</v>
      </c>
      <c r="F49" s="132">
        <f>+'Stage  Entry'!AW12</f>
        <v>0.009432870370370371</v>
      </c>
      <c r="G49" s="17">
        <f>+Dist14</f>
        <v>3.7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Stephen Paine</cp:lastModifiedBy>
  <cp:lastPrinted>2007-11-04T21:20:19Z</cp:lastPrinted>
  <dcterms:created xsi:type="dcterms:W3CDTF">2001-03-07T08:50:40Z</dcterms:created>
  <dcterms:modified xsi:type="dcterms:W3CDTF">2012-09-24T00:33:01Z</dcterms:modified>
  <cp:category/>
  <cp:version/>
  <cp:contentType/>
  <cp:contentStatus/>
</cp:coreProperties>
</file>