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\My Documents\Data\Excel\"/>
    </mc:Choice>
  </mc:AlternateContent>
  <bookViews>
    <workbookView xWindow="0" yWindow="0" windowWidth="28800" windowHeight="12285" tabRatio="596"/>
  </bookViews>
  <sheets>
    <sheet name="Team Selection" sheetId="3" r:id="rId1"/>
    <sheet name="Stage Entry" sheetId="2" r:id="rId2"/>
    <sheet name="Teams by Stage" sheetId="7" r:id="rId3"/>
    <sheet name="Stage-by-Stage" sheetId="9" r:id="rId4"/>
    <sheet name="Runner Performance" sheetId="1" r:id="rId5"/>
    <sheet name="Data" sheetId="10" r:id="rId6"/>
  </sheets>
  <definedNames>
    <definedName name="Dist1">'Stage Entry'!$I$2</definedName>
    <definedName name="Dist10">'Stage Entry'!$X$11</definedName>
    <definedName name="Dist11">'Stage Entry'!$AC$11</definedName>
    <definedName name="Dist12">'Stage Entry'!$AH$11</definedName>
    <definedName name="Dist13">'Stage Entry'!$AM$11</definedName>
    <definedName name="Dist14">'Stage Entry'!$AR$11</definedName>
    <definedName name="Dist2">'Stage Entry'!$S$2</definedName>
    <definedName name="Dist3">'Stage Entry'!$X$2</definedName>
    <definedName name="Dist4">'Stage Entry'!$AC$2</definedName>
    <definedName name="Dist5">'Stage Entry'!$AH$2</definedName>
    <definedName name="Dist6">'Stage Entry'!$AM$2</definedName>
    <definedName name="Dist7">'Stage Entry'!$AR$2</definedName>
    <definedName name="Dist8">'Stage Entry'!$I$11</definedName>
    <definedName name="Dist9">'Stage Entry'!$S$11</definedName>
    <definedName name="_xlnm.Print_Area" localSheetId="1">'Stage Entry'!$A$1:$AY$17</definedName>
    <definedName name="_xlnm.Print_Area" localSheetId="0">'Team Selection'!$B$1:$J$8</definedName>
    <definedName name="_xlnm.Print_Titles" localSheetId="1">'Stage Entry'!$A:$G</definedName>
    <definedName name="RunnerName">#REF!</definedName>
    <definedName name="Stage">#REF!</definedName>
    <definedName name="Stage1">#REF!</definedName>
    <definedName name="Stage10">#REF!</definedName>
    <definedName name="Stage11">#REF!</definedName>
    <definedName name="Stage12">#REF!</definedName>
    <definedName name="Stage13">#REF!</definedName>
    <definedName name="Stage14">#REF!</definedName>
    <definedName name="Stage15">#REF!</definedName>
    <definedName name="Stage16">#REF!</definedName>
    <definedName name="Stage2">#REF!</definedName>
    <definedName name="Stage3">#REF!</definedName>
    <definedName name="Stage4">#REF!</definedName>
    <definedName name="Stage5">#REF!</definedName>
    <definedName name="Stage6">#REF!</definedName>
    <definedName name="Stage7">#REF!</definedName>
    <definedName name="Stage8">#REF!</definedName>
    <definedName name="Stage9">#REF!</definedName>
    <definedName name="Team1">'Team Selection'!$D$3:$J$3</definedName>
    <definedName name="Team1Result">#REF!</definedName>
    <definedName name="Team1Runner1">#REF!</definedName>
    <definedName name="Team1Runner2">#REF!</definedName>
    <definedName name="Team1Runner3">#REF!</definedName>
    <definedName name="Team1Runner4">#REF!</definedName>
    <definedName name="Team2">'Team Selection'!$D$4:$J$4</definedName>
    <definedName name="Team2Result">#REF!</definedName>
    <definedName name="Team2Runner1">#REF!</definedName>
    <definedName name="Team2Runner2">#REF!</definedName>
    <definedName name="Team2Runner3">#REF!</definedName>
    <definedName name="Team2Runner4">#REF!</definedName>
    <definedName name="Team3">'Team Selection'!$D$5:$J$5</definedName>
    <definedName name="Team3Result">#REF!</definedName>
    <definedName name="Team3Runner1">#REF!</definedName>
    <definedName name="Team3Runner2">#REF!</definedName>
    <definedName name="Team3Runner3">#REF!</definedName>
    <definedName name="Team3Runner4">#REF!</definedName>
    <definedName name="Team4">'Team Selection'!$D$6:$J$6</definedName>
    <definedName name="Team4Result">#REF!</definedName>
    <definedName name="Team4Runner1">#REF!</definedName>
    <definedName name="Team4Runner2">#REF!</definedName>
    <definedName name="Team4Runner3">#REF!</definedName>
    <definedName name="Team4Runner4">#REF!</definedName>
    <definedName name="Team5">'Team Selection'!#REF!</definedName>
    <definedName name="Team5Result">#REF!</definedName>
    <definedName name="Team5Runner1">#REF!</definedName>
    <definedName name="Team5Runner2">#REF!</definedName>
    <definedName name="Team5Runner3">#REF!</definedName>
    <definedName name="Team5Runner4">#REF!</definedName>
    <definedName name="Team6">'Team Selection'!#REF!</definedName>
    <definedName name="Team6Result">#REF!</definedName>
    <definedName name="Team6Runner1">#REF!</definedName>
    <definedName name="Team6Runner2">#REF!</definedName>
    <definedName name="Team6Runner3">#REF!</definedName>
    <definedName name="Team6Runner4">#REF!</definedName>
  </definedNames>
  <calcPr calcId="152511" fullCalcOnLoad="1"/>
</workbook>
</file>

<file path=xl/calcChain.xml><?xml version="1.0" encoding="utf-8"?>
<calcChain xmlns="http://schemas.openxmlformats.org/spreadsheetml/2006/main">
  <c r="D3" i="3" l="1"/>
  <c r="C7" i="7"/>
  <c r="D7" i="7"/>
  <c r="F7" i="7"/>
  <c r="I7" i="7"/>
  <c r="L7" i="7"/>
  <c r="O7" i="7"/>
  <c r="R7" i="7"/>
  <c r="U7" i="7"/>
  <c r="X7" i="7"/>
  <c r="AA7" i="7"/>
  <c r="AD7" i="7"/>
  <c r="AG7" i="7"/>
  <c r="AJ7" i="7"/>
  <c r="AM7" i="7"/>
  <c r="AP7" i="7"/>
  <c r="AS7" i="7"/>
  <c r="AV7" i="7"/>
  <c r="C8" i="7"/>
  <c r="D8" i="7"/>
  <c r="F8" i="7"/>
  <c r="I8" i="7"/>
  <c r="L8" i="7"/>
  <c r="O8" i="7"/>
  <c r="R8" i="7"/>
  <c r="U8" i="7"/>
  <c r="X8" i="7"/>
  <c r="AA8" i="7"/>
  <c r="AD8" i="7"/>
  <c r="AG8" i="7"/>
  <c r="AJ8" i="7"/>
  <c r="AM8" i="7"/>
  <c r="AP8" i="7"/>
  <c r="AS8" i="7"/>
  <c r="AV8" i="7"/>
  <c r="C9" i="7"/>
  <c r="D9" i="7" s="1"/>
  <c r="F9" i="7"/>
  <c r="I9" i="7"/>
  <c r="L9" i="7"/>
  <c r="O9" i="7"/>
  <c r="R9" i="7"/>
  <c r="U9" i="7"/>
  <c r="AA9" i="7"/>
  <c r="AD9" i="7"/>
  <c r="AG9" i="7"/>
  <c r="AJ9" i="7"/>
  <c r="AM9" i="7"/>
  <c r="AP9" i="7"/>
  <c r="AS9" i="7"/>
  <c r="AV9" i="7"/>
  <c r="U5" i="7"/>
  <c r="AT18" i="2"/>
  <c r="AT17" i="2"/>
  <c r="AT16" i="2"/>
  <c r="AT15" i="2"/>
  <c r="AT14" i="2"/>
  <c r="AT13" i="2"/>
  <c r="AO18" i="2"/>
  <c r="AO17" i="2"/>
  <c r="AO16" i="2"/>
  <c r="AO15" i="2"/>
  <c r="AO14" i="2"/>
  <c r="AO13" i="2"/>
  <c r="AJ18" i="2"/>
  <c r="AJ17" i="2"/>
  <c r="AJ16" i="2"/>
  <c r="AJ15" i="2"/>
  <c r="AJ14" i="2"/>
  <c r="AJ13" i="2"/>
  <c r="AE18" i="2"/>
  <c r="AE17" i="2"/>
  <c r="AE16" i="2"/>
  <c r="AE15" i="2"/>
  <c r="AE14" i="2"/>
  <c r="AE13" i="2"/>
  <c r="E2" i="10"/>
  <c r="A2" i="10" s="1"/>
  <c r="E3" i="10"/>
  <c r="E4" i="10"/>
  <c r="E5" i="10"/>
  <c r="E6" i="10"/>
  <c r="E7" i="10"/>
  <c r="E8" i="10"/>
  <c r="E9" i="10"/>
  <c r="E10" i="10"/>
  <c r="E11" i="10"/>
  <c r="A11" i="10" s="1"/>
  <c r="E12" i="10"/>
  <c r="E13" i="10"/>
  <c r="E14" i="10"/>
  <c r="E15" i="10"/>
  <c r="A15" i="10" s="1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A31" i="10" s="1"/>
  <c r="E32" i="10"/>
  <c r="E33" i="10"/>
  <c r="E34" i="10"/>
  <c r="E35" i="10"/>
  <c r="E36" i="10"/>
  <c r="E37" i="10"/>
  <c r="E38" i="10"/>
  <c r="E39" i="10"/>
  <c r="A39" i="10" s="1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A59" i="10" s="1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F11" i="10"/>
  <c r="F35" i="10"/>
  <c r="F65" i="10"/>
  <c r="F89" i="10"/>
  <c r="J8" i="3"/>
  <c r="B35" i="1"/>
  <c r="F19" i="10"/>
  <c r="F25" i="10"/>
  <c r="F43" i="10"/>
  <c r="F61" i="10"/>
  <c r="F79" i="10"/>
  <c r="F97" i="10"/>
  <c r="J7" i="3"/>
  <c r="B34" i="1"/>
  <c r="F18" i="10"/>
  <c r="F24" i="10"/>
  <c r="F42" i="10"/>
  <c r="F48" i="10"/>
  <c r="F60" i="10"/>
  <c r="F78" i="10"/>
  <c r="F96" i="10"/>
  <c r="J6" i="3"/>
  <c r="F17" i="10"/>
  <c r="F23" i="10"/>
  <c r="F41" i="10"/>
  <c r="F47" i="10"/>
  <c r="F59" i="10"/>
  <c r="F95" i="10"/>
  <c r="J5" i="3"/>
  <c r="F16" i="10"/>
  <c r="F15" i="10"/>
  <c r="F22" i="10"/>
  <c r="F40" i="10"/>
  <c r="F39" i="10"/>
  <c r="F46" i="10"/>
  <c r="F58" i="10"/>
  <c r="F57" i="10"/>
  <c r="F76" i="10"/>
  <c r="F75" i="10"/>
  <c r="F94" i="10"/>
  <c r="J4" i="3"/>
  <c r="B31" i="1" s="1"/>
  <c r="F21" i="10"/>
  <c r="F45" i="10"/>
  <c r="F63" i="10"/>
  <c r="F93" i="10"/>
  <c r="J3" i="3"/>
  <c r="B30" i="1"/>
  <c r="F14" i="10"/>
  <c r="F20" i="10"/>
  <c r="F38" i="10"/>
  <c r="F44" i="10"/>
  <c r="F50" i="10"/>
  <c r="F56" i="10"/>
  <c r="F62" i="10"/>
  <c r="F92" i="10"/>
  <c r="H8" i="3"/>
  <c r="B26" i="1" s="1"/>
  <c r="F7" i="10"/>
  <c r="F31" i="10"/>
  <c r="F55" i="10"/>
  <c r="F67" i="10"/>
  <c r="F85" i="10"/>
  <c r="H7" i="3"/>
  <c r="B25" i="1" s="1"/>
  <c r="F6" i="10"/>
  <c r="F12" i="10"/>
  <c r="F30" i="10"/>
  <c r="F36" i="10"/>
  <c r="F66" i="10"/>
  <c r="F90" i="10"/>
  <c r="H6" i="3"/>
  <c r="F5" i="10"/>
  <c r="F29" i="10"/>
  <c r="F53" i="10"/>
  <c r="F77" i="10"/>
  <c r="H5" i="3"/>
  <c r="B23" i="1"/>
  <c r="F4" i="10"/>
  <c r="F10" i="10"/>
  <c r="F28" i="10"/>
  <c r="F34" i="10"/>
  <c r="F52" i="10"/>
  <c r="F70" i="10"/>
  <c r="F88" i="10"/>
  <c r="H4" i="3"/>
  <c r="B22" i="1"/>
  <c r="F3" i="10"/>
  <c r="F9" i="10"/>
  <c r="F27" i="10"/>
  <c r="F33" i="10"/>
  <c r="F51" i="10"/>
  <c r="F87" i="10"/>
  <c r="F81" i="10"/>
  <c r="H3" i="3"/>
  <c r="F2" i="10"/>
  <c r="F26" i="10"/>
  <c r="F74" i="10"/>
  <c r="F68" i="10"/>
  <c r="F86" i="10"/>
  <c r="F8" i="3"/>
  <c r="B17" i="1"/>
  <c r="F13" i="10"/>
  <c r="F37" i="10"/>
  <c r="F91" i="10"/>
  <c r="F7" i="3"/>
  <c r="B16" i="1" s="1"/>
  <c r="F72" i="10"/>
  <c r="F54" i="10"/>
  <c r="F6" i="3"/>
  <c r="F71" i="10"/>
  <c r="F5" i="3"/>
  <c r="B14" i="1"/>
  <c r="F64" i="10"/>
  <c r="F4" i="3"/>
  <c r="B13" i="1"/>
  <c r="F3" i="3"/>
  <c r="F8" i="10"/>
  <c r="F32" i="10"/>
  <c r="F80" i="10"/>
  <c r="D8" i="3"/>
  <c r="B8" i="1" s="1"/>
  <c r="F49" i="10"/>
  <c r="F73" i="10"/>
  <c r="D7" i="3"/>
  <c r="B7" i="1" s="1"/>
  <c r="F84" i="10"/>
  <c r="D6" i="3"/>
  <c r="F83" i="10"/>
  <c r="D5" i="3"/>
  <c r="B5" i="1"/>
  <c r="F82" i="10"/>
  <c r="D4" i="3"/>
  <c r="B4" i="1"/>
  <c r="F69" i="10"/>
  <c r="B3" i="1"/>
  <c r="G49" i="10"/>
  <c r="X2" i="2"/>
  <c r="G21" i="10"/>
  <c r="S2" i="2"/>
  <c r="G17" i="10" s="1"/>
  <c r="G61" i="10"/>
  <c r="G60" i="10"/>
  <c r="G59" i="10"/>
  <c r="G58" i="10"/>
  <c r="G57" i="10"/>
  <c r="G56" i="10"/>
  <c r="G43" i="10"/>
  <c r="G55" i="10"/>
  <c r="G97" i="10"/>
  <c r="G42" i="10"/>
  <c r="G84" i="10"/>
  <c r="G41" i="10"/>
  <c r="G53" i="10"/>
  <c r="G95" i="10"/>
  <c r="G40" i="10"/>
  <c r="G76" i="10"/>
  <c r="G39" i="10"/>
  <c r="G51" i="10"/>
  <c r="G75" i="10"/>
  <c r="G2" i="10"/>
  <c r="G38" i="10"/>
  <c r="G68" i="10"/>
  <c r="G80" i="10"/>
  <c r="G92" i="10"/>
  <c r="G79" i="10"/>
  <c r="G48" i="10"/>
  <c r="G54" i="10"/>
  <c r="G78" i="10"/>
  <c r="G47" i="10"/>
  <c r="G77" i="10"/>
  <c r="G46" i="10"/>
  <c r="G52" i="10"/>
  <c r="G82" i="10"/>
  <c r="G45" i="10"/>
  <c r="G81" i="10"/>
  <c r="G8" i="10"/>
  <c r="G44" i="10"/>
  <c r="G26" i="10"/>
  <c r="G86" i="10"/>
  <c r="G13" i="10"/>
  <c r="G37" i="10"/>
  <c r="G31" i="10"/>
  <c r="G67" i="10"/>
  <c r="G91" i="10"/>
  <c r="G12" i="10"/>
  <c r="G36" i="10"/>
  <c r="G30" i="10"/>
  <c r="G66" i="10"/>
  <c r="G96" i="10"/>
  <c r="G11" i="10"/>
  <c r="G35" i="10"/>
  <c r="G29" i="10"/>
  <c r="G65" i="10"/>
  <c r="G83" i="10"/>
  <c r="G10" i="10"/>
  <c r="G34" i="10"/>
  <c r="G64" i="10"/>
  <c r="G94" i="10"/>
  <c r="G9" i="10"/>
  <c r="G33" i="10"/>
  <c r="G27" i="10"/>
  <c r="G69" i="10"/>
  <c r="G93" i="10"/>
  <c r="G32" i="10"/>
  <c r="G50" i="10"/>
  <c r="G74" i="10"/>
  <c r="G7" i="10"/>
  <c r="G73" i="10"/>
  <c r="G85" i="10"/>
  <c r="G6" i="10"/>
  <c r="G72" i="10"/>
  <c r="G90" i="10"/>
  <c r="G5" i="10"/>
  <c r="G28" i="10"/>
  <c r="G71" i="10"/>
  <c r="G89" i="10"/>
  <c r="G4" i="10"/>
  <c r="G70" i="10"/>
  <c r="G88" i="10"/>
  <c r="G3" i="10"/>
  <c r="G63" i="10"/>
  <c r="G87" i="10"/>
  <c r="G62" i="10"/>
  <c r="H54" i="2"/>
  <c r="H60" i="2"/>
  <c r="H66" i="2"/>
  <c r="H72" i="2"/>
  <c r="H56" i="2"/>
  <c r="H62" i="2"/>
  <c r="H68" i="2"/>
  <c r="H74" i="2"/>
  <c r="H52" i="2"/>
  <c r="H53" i="2"/>
  <c r="H55" i="2"/>
  <c r="K8" i="2" s="1"/>
  <c r="H57" i="2"/>
  <c r="H58" i="2"/>
  <c r="H59" i="2"/>
  <c r="H61" i="2"/>
  <c r="H63" i="2"/>
  <c r="H64" i="2"/>
  <c r="H65" i="2"/>
  <c r="H67" i="2"/>
  <c r="H69" i="2"/>
  <c r="H70" i="2"/>
  <c r="H71" i="2"/>
  <c r="H73" i="2"/>
  <c r="H75" i="2"/>
  <c r="K18" i="2"/>
  <c r="K17" i="2"/>
  <c r="K16" i="2"/>
  <c r="K15" i="2"/>
  <c r="K14" i="2"/>
  <c r="K13" i="2"/>
  <c r="P18" i="2"/>
  <c r="P17" i="2"/>
  <c r="P16" i="2"/>
  <c r="P15" i="2"/>
  <c r="P14" i="2"/>
  <c r="P13" i="2"/>
  <c r="U18" i="2"/>
  <c r="U17" i="2"/>
  <c r="U16" i="2"/>
  <c r="U15" i="2"/>
  <c r="U14" i="2"/>
  <c r="U13" i="2"/>
  <c r="Z18" i="2"/>
  <c r="Z17" i="2"/>
  <c r="Z16" i="2"/>
  <c r="Z15" i="2"/>
  <c r="Z14" i="2"/>
  <c r="Z13" i="2"/>
  <c r="AE9" i="2"/>
  <c r="AE8" i="2"/>
  <c r="AE7" i="2"/>
  <c r="AE6" i="2"/>
  <c r="AE5" i="2"/>
  <c r="AE4" i="2"/>
  <c r="AJ9" i="2"/>
  <c r="AJ8" i="2"/>
  <c r="AJ7" i="2"/>
  <c r="AJ6" i="2"/>
  <c r="AJ5" i="2"/>
  <c r="AJ4" i="2"/>
  <c r="AO9" i="2"/>
  <c r="AO8" i="2"/>
  <c r="AO7" i="2"/>
  <c r="AO6" i="2"/>
  <c r="AO5" i="2"/>
  <c r="AO4" i="2"/>
  <c r="AT9" i="2"/>
  <c r="AT8" i="2"/>
  <c r="AT7" i="2"/>
  <c r="AT6" i="2"/>
  <c r="AT5" i="2"/>
  <c r="AT4" i="2"/>
  <c r="E13" i="2"/>
  <c r="E14" i="2"/>
  <c r="E15" i="2"/>
  <c r="E16" i="2"/>
  <c r="E17" i="2"/>
  <c r="E18" i="2"/>
  <c r="E4" i="2"/>
  <c r="E5" i="2"/>
  <c r="E6" i="2"/>
  <c r="E7" i="2"/>
  <c r="E8" i="2"/>
  <c r="E9" i="2"/>
  <c r="A4" i="2"/>
  <c r="A13" i="2" s="1"/>
  <c r="A9" i="2"/>
  <c r="A18" i="2" s="1"/>
  <c r="A8" i="2"/>
  <c r="A17" i="2" s="1"/>
  <c r="O18" i="2"/>
  <c r="O17" i="2"/>
  <c r="O16" i="2"/>
  <c r="O15" i="2"/>
  <c r="O14" i="2"/>
  <c r="O13" i="2"/>
  <c r="A7" i="2"/>
  <c r="A16" i="2" s="1"/>
  <c r="A6" i="2"/>
  <c r="A15" i="2" s="1"/>
  <c r="A5" i="2"/>
  <c r="A14" i="2" s="1"/>
  <c r="J17" i="2"/>
  <c r="T17" i="2"/>
  <c r="Y17" i="2"/>
  <c r="AD17" i="2"/>
  <c r="AI17" i="2"/>
  <c r="AN17" i="2"/>
  <c r="AS17" i="2"/>
  <c r="J18" i="2"/>
  <c r="T18" i="2"/>
  <c r="Y18" i="2"/>
  <c r="AD18" i="2"/>
  <c r="AI18" i="2"/>
  <c r="AN18" i="2"/>
  <c r="AS18" i="2"/>
  <c r="J9" i="2"/>
  <c r="O9" i="2"/>
  <c r="AD9" i="2"/>
  <c r="AI9" i="2"/>
  <c r="AN9" i="2"/>
  <c r="AS9" i="2"/>
  <c r="AN13" i="2"/>
  <c r="AN15" i="2"/>
  <c r="AN14" i="2"/>
  <c r="AD13" i="2"/>
  <c r="AD4" i="2"/>
  <c r="J13" i="2"/>
  <c r="O4" i="2"/>
  <c r="AS13" i="2"/>
  <c r="AS4" i="2"/>
  <c r="AN4" i="2"/>
  <c r="AD14" i="2"/>
  <c r="AD5" i="2"/>
  <c r="J14" i="2"/>
  <c r="AS14" i="2"/>
  <c r="AS5" i="2"/>
  <c r="AN5" i="2"/>
  <c r="O5" i="2"/>
  <c r="AD15" i="2"/>
  <c r="AD6" i="2"/>
  <c r="J15" i="2"/>
  <c r="AS15" i="2"/>
  <c r="AS6" i="2"/>
  <c r="AN6" i="2"/>
  <c r="O6" i="2"/>
  <c r="AN16" i="2"/>
  <c r="J16" i="2"/>
  <c r="AS7" i="2"/>
  <c r="AD16" i="2"/>
  <c r="AD7" i="2"/>
  <c r="AS16" i="2"/>
  <c r="AN7" i="2"/>
  <c r="O7" i="2"/>
  <c r="AS8" i="2"/>
  <c r="AD8" i="2"/>
  <c r="AN8" i="2"/>
  <c r="O8" i="2"/>
  <c r="N2" i="2"/>
  <c r="AI13" i="2"/>
  <c r="AI4" i="2"/>
  <c r="J4" i="2"/>
  <c r="Y13" i="2"/>
  <c r="T16" i="2"/>
  <c r="T15" i="2"/>
  <c r="T13" i="2"/>
  <c r="T14" i="2"/>
  <c r="J8" i="2"/>
  <c r="AI8" i="2"/>
  <c r="J7" i="2"/>
  <c r="AI7" i="2"/>
  <c r="Y16" i="2"/>
  <c r="AI16" i="2"/>
  <c r="J6" i="2"/>
  <c r="AI6" i="2"/>
  <c r="Y15" i="2"/>
  <c r="AI15" i="2"/>
  <c r="J5" i="2"/>
  <c r="AI5" i="2"/>
  <c r="Y14" i="2"/>
  <c r="AI14" i="2"/>
  <c r="K8" i="3"/>
  <c r="K7" i="3"/>
  <c r="K4" i="3"/>
  <c r="K5" i="3"/>
  <c r="K6" i="3"/>
  <c r="K3" i="3"/>
  <c r="C4" i="7"/>
  <c r="D4" i="7"/>
  <c r="F4" i="7"/>
  <c r="I4" i="7"/>
  <c r="J4" i="7" s="1"/>
  <c r="L4" i="7"/>
  <c r="O4" i="7"/>
  <c r="R4" i="7"/>
  <c r="U4" i="7"/>
  <c r="X4" i="7"/>
  <c r="AA4" i="7"/>
  <c r="AD4" i="7"/>
  <c r="AG4" i="7"/>
  <c r="AJ4" i="7"/>
  <c r="AM4" i="7"/>
  <c r="AP4" i="7"/>
  <c r="AS4" i="7"/>
  <c r="AV4" i="7"/>
  <c r="C5" i="7"/>
  <c r="D5" i="7" s="1"/>
  <c r="F5" i="7"/>
  <c r="I5" i="7"/>
  <c r="L5" i="7"/>
  <c r="O5" i="7"/>
  <c r="R5" i="7"/>
  <c r="X5" i="7"/>
  <c r="AA5" i="7"/>
  <c r="AD5" i="7"/>
  <c r="AG5" i="7"/>
  <c r="AJ5" i="7"/>
  <c r="AM5" i="7"/>
  <c r="AP5" i="7"/>
  <c r="AS5" i="7"/>
  <c r="AV5" i="7"/>
  <c r="C6" i="7"/>
  <c r="D6" i="7" s="1"/>
  <c r="F6" i="7"/>
  <c r="G6" i="7" s="1"/>
  <c r="I6" i="7"/>
  <c r="L6" i="7"/>
  <c r="O6" i="7"/>
  <c r="R6" i="7"/>
  <c r="U6" i="7"/>
  <c r="X6" i="7"/>
  <c r="AA6" i="7"/>
  <c r="AD6" i="7"/>
  <c r="AG6" i="7"/>
  <c r="AJ6" i="7"/>
  <c r="AM6" i="7"/>
  <c r="AP6" i="7"/>
  <c r="AS6" i="7"/>
  <c r="AV6" i="7"/>
  <c r="X9" i="7"/>
  <c r="A9" i="7"/>
  <c r="AY17" i="7" s="1"/>
  <c r="AU9" i="7"/>
  <c r="AR9" i="7"/>
  <c r="AO9" i="7"/>
  <c r="AL9" i="7"/>
  <c r="AI9" i="7"/>
  <c r="AF9" i="7"/>
  <c r="AC9" i="7"/>
  <c r="Z9" i="7"/>
  <c r="W9" i="7"/>
  <c r="T9" i="7"/>
  <c r="Q9" i="7"/>
  <c r="N9" i="7"/>
  <c r="K9" i="7"/>
  <c r="H9" i="7"/>
  <c r="E9" i="7"/>
  <c r="B9" i="7"/>
  <c r="AU8" i="7"/>
  <c r="AR8" i="7"/>
  <c r="AO8" i="7"/>
  <c r="AL8" i="7"/>
  <c r="AI8" i="7"/>
  <c r="AF8" i="7"/>
  <c r="AC8" i="7"/>
  <c r="Z8" i="7"/>
  <c r="W8" i="7"/>
  <c r="T8" i="7"/>
  <c r="Q8" i="7"/>
  <c r="N8" i="7"/>
  <c r="K8" i="7"/>
  <c r="H8" i="7"/>
  <c r="E8" i="7"/>
  <c r="B8" i="7"/>
  <c r="AU7" i="7"/>
  <c r="AR7" i="7"/>
  <c r="AO7" i="7"/>
  <c r="AL7" i="7"/>
  <c r="AI7" i="7"/>
  <c r="AF7" i="7"/>
  <c r="AC7" i="7"/>
  <c r="Z7" i="7"/>
  <c r="W7" i="7"/>
  <c r="T7" i="7"/>
  <c r="Q7" i="7"/>
  <c r="N7" i="7"/>
  <c r="K7" i="7"/>
  <c r="H7" i="7"/>
  <c r="E7" i="7"/>
  <c r="B7" i="7"/>
  <c r="AU6" i="7"/>
  <c r="AR6" i="7"/>
  <c r="AO6" i="7"/>
  <c r="AL6" i="7"/>
  <c r="AI6" i="7"/>
  <c r="AF6" i="7"/>
  <c r="AC6" i="7"/>
  <c r="Z6" i="7"/>
  <c r="W6" i="7"/>
  <c r="T6" i="7"/>
  <c r="Q6" i="7"/>
  <c r="N6" i="7"/>
  <c r="K6" i="7"/>
  <c r="H6" i="7"/>
  <c r="E6" i="7"/>
  <c r="B6" i="7"/>
  <c r="AU5" i="7"/>
  <c r="AR5" i="7"/>
  <c r="AO5" i="7"/>
  <c r="AL5" i="7"/>
  <c r="AI5" i="7"/>
  <c r="AF5" i="7"/>
  <c r="AC5" i="7"/>
  <c r="Z5" i="7"/>
  <c r="W5" i="7"/>
  <c r="T5" i="7"/>
  <c r="Q5" i="7"/>
  <c r="N5" i="7"/>
  <c r="K5" i="7"/>
  <c r="H5" i="7"/>
  <c r="E5" i="7"/>
  <c r="B5" i="7"/>
  <c r="A8" i="7"/>
  <c r="AY16" i="7"/>
  <c r="A7" i="7"/>
  <c r="AY15" i="7" s="1"/>
  <c r="A6" i="7"/>
  <c r="AY14" i="7"/>
  <c r="A5" i="7"/>
  <c r="AY13" i="7" s="1"/>
  <c r="A4" i="7"/>
  <c r="AY12" i="7"/>
  <c r="AC4" i="7"/>
  <c r="Z4" i="7"/>
  <c r="E4" i="7"/>
  <c r="B4" i="7"/>
  <c r="AU4" i="7"/>
  <c r="AR4" i="7"/>
  <c r="AO4" i="7"/>
  <c r="AL4" i="7"/>
  <c r="AI4" i="7"/>
  <c r="AF4" i="7"/>
  <c r="W4" i="7"/>
  <c r="T4" i="7"/>
  <c r="Q4" i="7"/>
  <c r="N4" i="7"/>
  <c r="K4" i="7"/>
  <c r="H4" i="7"/>
  <c r="Y5" i="2"/>
  <c r="Y7" i="2"/>
  <c r="G22" i="10"/>
  <c r="B24" i="2"/>
  <c r="D24" i="2"/>
  <c r="E24" i="2"/>
  <c r="G20" i="10"/>
  <c r="Y6" i="2"/>
  <c r="G25" i="10"/>
  <c r="Y9" i="2"/>
  <c r="C25" i="2"/>
  <c r="D27" i="2"/>
  <c r="G14" i="10"/>
  <c r="T9" i="2"/>
  <c r="B5" i="2"/>
  <c r="Y4" i="2"/>
  <c r="G24" i="10"/>
  <c r="Y8" i="2"/>
  <c r="D25" i="2"/>
  <c r="G23" i="10"/>
  <c r="G15" i="10"/>
  <c r="B9" i="2"/>
  <c r="B7" i="2"/>
  <c r="C39" i="10"/>
  <c r="G18" i="10"/>
  <c r="A47" i="10"/>
  <c r="G16" i="10"/>
  <c r="G19" i="10"/>
  <c r="T7" i="2"/>
  <c r="T8" i="2"/>
  <c r="G8" i="7"/>
  <c r="J8" i="7" s="1"/>
  <c r="T4" i="2"/>
  <c r="T6" i="2"/>
  <c r="T5" i="2"/>
  <c r="A34" i="10"/>
  <c r="C34" i="10" s="1"/>
  <c r="C15" i="10"/>
  <c r="A55" i="10"/>
  <c r="A28" i="10"/>
  <c r="C28" i="10" s="1"/>
  <c r="C31" i="10"/>
  <c r="C59" i="10"/>
  <c r="A96" i="10"/>
  <c r="C96" i="10" s="1"/>
  <c r="G4" i="7"/>
  <c r="A94" i="10"/>
  <c r="C94" i="10" s="1"/>
  <c r="C11" i="10"/>
  <c r="A51" i="10"/>
  <c r="A85" i="10"/>
  <c r="C85" i="10" s="1"/>
  <c r="A56" i="10"/>
  <c r="C56" i="10" s="1"/>
  <c r="A6" i="10"/>
  <c r="C6" i="10" s="1"/>
  <c r="A24" i="10"/>
  <c r="C24" i="10" s="1"/>
  <c r="A36" i="10"/>
  <c r="C36" i="10" s="1"/>
  <c r="A9" i="10"/>
  <c r="C9" i="10" s="1"/>
  <c r="A92" i="10"/>
  <c r="C92" i="10" s="1"/>
  <c r="A77" i="10"/>
  <c r="C77" i="10" s="1"/>
  <c r="A8" i="10"/>
  <c r="C8" i="10" s="1"/>
  <c r="A26" i="10"/>
  <c r="C26" i="10" s="1"/>
  <c r="A44" i="10"/>
  <c r="C44" i="10" s="1"/>
  <c r="A33" i="10"/>
  <c r="C33" i="10" s="1"/>
  <c r="A75" i="10"/>
  <c r="A88" i="10"/>
  <c r="C88" i="10" s="1"/>
  <c r="A43" i="10"/>
  <c r="A89" i="10"/>
  <c r="C89" i="10" s="1"/>
  <c r="A7" i="10"/>
  <c r="A53" i="10"/>
  <c r="C53" i="10" s="1"/>
  <c r="A4" i="10"/>
  <c r="C4" i="10" s="1"/>
  <c r="A58" i="10"/>
  <c r="C58" i="10" s="1"/>
  <c r="D28" i="2"/>
  <c r="E28" i="2"/>
  <c r="E23" i="2"/>
  <c r="E27" i="2"/>
  <c r="B25" i="2"/>
  <c r="B23" i="2"/>
  <c r="C24" i="2"/>
  <c r="C28" i="2"/>
  <c r="C27" i="2"/>
  <c r="B27" i="2"/>
  <c r="B28" i="2"/>
  <c r="G7" i="7"/>
  <c r="C14" i="7"/>
  <c r="J7" i="7"/>
  <c r="M8" i="7"/>
  <c r="M4" i="7"/>
  <c r="P4" i="7" s="1"/>
  <c r="M7" i="7"/>
  <c r="P8" i="7"/>
  <c r="P7" i="7"/>
  <c r="S7" i="7" s="1"/>
  <c r="V7" i="7" s="1"/>
  <c r="S4" i="7"/>
  <c r="S8" i="7"/>
  <c r="V8" i="7" s="1"/>
  <c r="V4" i="7"/>
  <c r="Y8" i="7"/>
  <c r="AB8" i="7" s="1"/>
  <c r="AE8" i="7" l="1"/>
  <c r="C13" i="7"/>
  <c r="C16" i="7"/>
  <c r="D13" i="7"/>
  <c r="AZ13" i="7" s="1"/>
  <c r="G5" i="7"/>
  <c r="D12" i="7"/>
  <c r="AZ12" i="7" s="1"/>
  <c r="C17" i="7"/>
  <c r="C15" i="7"/>
  <c r="D14" i="7"/>
  <c r="AZ14" i="7" s="1"/>
  <c r="D15" i="7"/>
  <c r="AZ15" i="7" s="1"/>
  <c r="C12" i="7"/>
  <c r="D16" i="7"/>
  <c r="AZ16" i="7" s="1"/>
  <c r="F4" i="2"/>
  <c r="F7" i="2"/>
  <c r="F6" i="2"/>
  <c r="F9" i="2"/>
  <c r="B4" i="2"/>
  <c r="F5" i="2"/>
  <c r="B21" i="1"/>
  <c r="D23" i="2"/>
  <c r="Y7" i="7"/>
  <c r="J6" i="7"/>
  <c r="B8" i="2"/>
  <c r="C8" i="2" s="1"/>
  <c r="F8" i="2"/>
  <c r="F17" i="2"/>
  <c r="F16" i="2"/>
  <c r="F13" i="2"/>
  <c r="B6" i="2"/>
  <c r="F18" i="2"/>
  <c r="F15" i="2"/>
  <c r="U9" i="2"/>
  <c r="P7" i="2"/>
  <c r="U4" i="2"/>
  <c r="U7" i="2"/>
  <c r="P5" i="2"/>
  <c r="Z7" i="2"/>
  <c r="P6" i="2"/>
  <c r="K6" i="2"/>
  <c r="P9" i="2"/>
  <c r="Z9" i="2"/>
  <c r="Z6" i="2"/>
  <c r="Z5" i="2"/>
  <c r="Z4" i="2"/>
  <c r="K5" i="2"/>
  <c r="U6" i="2"/>
  <c r="K9" i="2"/>
  <c r="K7" i="2"/>
  <c r="K4" i="2"/>
  <c r="U5" i="2"/>
  <c r="U8" i="2"/>
  <c r="P4" i="2"/>
  <c r="P8" i="2"/>
  <c r="Z8" i="2"/>
  <c r="Y4" i="7"/>
  <c r="F14" i="2"/>
  <c r="B12" i="1"/>
  <c r="C23" i="2"/>
  <c r="B24" i="1"/>
  <c r="D26" i="2"/>
  <c r="B32" i="1"/>
  <c r="E25" i="2"/>
  <c r="D17" i="7"/>
  <c r="AZ17" i="7" s="1"/>
  <c r="G9" i="7"/>
  <c r="G14" i="7" s="1"/>
  <c r="BA14" i="7" s="1"/>
  <c r="G15" i="7"/>
  <c r="BA15" i="7" s="1"/>
  <c r="B6" i="1"/>
  <c r="B26" i="2"/>
  <c r="B15" i="1"/>
  <c r="C26" i="2"/>
  <c r="B33" i="1"/>
  <c r="E26" i="2"/>
  <c r="A95" i="10"/>
  <c r="C95" i="10"/>
  <c r="A91" i="10"/>
  <c r="C91" i="10" s="1"/>
  <c r="A87" i="10"/>
  <c r="C87" i="10"/>
  <c r="A83" i="10"/>
  <c r="C83" i="10" s="1"/>
  <c r="A79" i="10"/>
  <c r="C79" i="10" s="1"/>
  <c r="C75" i="10"/>
  <c r="A71" i="10"/>
  <c r="C71" i="10"/>
  <c r="A67" i="10"/>
  <c r="C67" i="10"/>
  <c r="A63" i="10"/>
  <c r="C63" i="10"/>
  <c r="C55" i="10"/>
  <c r="C51" i="10"/>
  <c r="C47" i="10"/>
  <c r="C43" i="10"/>
  <c r="A35" i="10"/>
  <c r="C35" i="10"/>
  <c r="A27" i="10"/>
  <c r="C27" i="10"/>
  <c r="A23" i="10"/>
  <c r="C23" i="10"/>
  <c r="A19" i="10"/>
  <c r="C19" i="10"/>
  <c r="C7" i="10"/>
  <c r="A22" i="10"/>
  <c r="C22" i="10" s="1"/>
  <c r="A37" i="10"/>
  <c r="C37" i="10" s="1"/>
  <c r="A46" i="10"/>
  <c r="C46" i="10" s="1"/>
  <c r="A10" i="10"/>
  <c r="C10" i="10" s="1"/>
  <c r="A82" i="10"/>
  <c r="C82" i="10" s="1"/>
  <c r="A3" i="10"/>
  <c r="A29" i="10"/>
  <c r="C29" i="10" s="1"/>
  <c r="A97" i="10"/>
  <c r="C97" i="10" s="1"/>
  <c r="A90" i="10"/>
  <c r="C90" i="10" s="1"/>
  <c r="A73" i="10"/>
  <c r="C73" i="10" s="1"/>
  <c r="A66" i="10"/>
  <c r="C66" i="10" s="1"/>
  <c r="A49" i="10"/>
  <c r="C49" i="10" s="1"/>
  <c r="A42" i="10"/>
  <c r="C42" i="10" s="1"/>
  <c r="A21" i="10"/>
  <c r="C21" i="10" s="1"/>
  <c r="A14" i="10"/>
  <c r="C14" i="10" s="1"/>
  <c r="A57" i="10"/>
  <c r="C57" i="10" s="1"/>
  <c r="A41" i="10"/>
  <c r="C41" i="10" s="1"/>
  <c r="A60" i="10"/>
  <c r="C60" i="10" s="1"/>
  <c r="A52" i="10"/>
  <c r="C52" i="10" s="1"/>
  <c r="C3" i="10"/>
  <c r="A72" i="10"/>
  <c r="C72" i="10" s="1"/>
  <c r="A70" i="10"/>
  <c r="C70" i="10" s="1"/>
  <c r="A61" i="10"/>
  <c r="C61" i="10" s="1"/>
  <c r="A68" i="10"/>
  <c r="C68" i="10" s="1"/>
  <c r="A64" i="10"/>
  <c r="C64" i="10" s="1"/>
  <c r="A12" i="10"/>
  <c r="C12" i="10" s="1"/>
  <c r="A30" i="10"/>
  <c r="C30" i="10" s="1"/>
  <c r="A48" i="10"/>
  <c r="C48" i="10" s="1"/>
  <c r="A80" i="10"/>
  <c r="C80" i="10" s="1"/>
  <c r="A54" i="10"/>
  <c r="C54" i="10" s="1"/>
  <c r="A20" i="10"/>
  <c r="C20" i="10" s="1"/>
  <c r="A32" i="10"/>
  <c r="C32" i="10" s="1"/>
  <c r="A50" i="10"/>
  <c r="C50" i="10" s="1"/>
  <c r="A13" i="10"/>
  <c r="C13" i="10" s="1"/>
  <c r="A17" i="10"/>
  <c r="C17" i="10" s="1"/>
  <c r="A78" i="10"/>
  <c r="C78" i="10" s="1"/>
  <c r="A65" i="10"/>
  <c r="C65" i="10" s="1"/>
  <c r="A84" i="10"/>
  <c r="C84" i="10" s="1"/>
  <c r="A5" i="10"/>
  <c r="C5" i="10" s="1"/>
  <c r="A74" i="10"/>
  <c r="C74" i="10" s="1"/>
  <c r="A40" i="10"/>
  <c r="C40" i="10" s="1"/>
  <c r="A16" i="10"/>
  <c r="C16" i="10" s="1"/>
  <c r="A93" i="10"/>
  <c r="C93" i="10" s="1"/>
  <c r="A86" i="10"/>
  <c r="C86" i="10" s="1"/>
  <c r="A76" i="10"/>
  <c r="C76" i="10" s="1"/>
  <c r="A69" i="10"/>
  <c r="C69" i="10" s="1"/>
  <c r="A62" i="10"/>
  <c r="C62" i="10" s="1"/>
  <c r="A45" i="10"/>
  <c r="C45" i="10" s="1"/>
  <c r="A38" i="10"/>
  <c r="C38" i="10" s="1"/>
  <c r="A25" i="10"/>
  <c r="C25" i="10" s="1"/>
  <c r="A18" i="10"/>
  <c r="C18" i="10" s="1"/>
  <c r="A81" i="10"/>
  <c r="C81" i="10" s="1"/>
  <c r="C2" i="10"/>
  <c r="S25" i="1" l="1"/>
  <c r="D5" i="1"/>
  <c r="J4" i="1"/>
  <c r="M30" i="1"/>
  <c r="H5" i="1"/>
  <c r="E8" i="1"/>
  <c r="J34" i="1"/>
  <c r="T3" i="1"/>
  <c r="M5" i="1"/>
  <c r="H35" i="1"/>
  <c r="T14" i="1"/>
  <c r="I30" i="1"/>
  <c r="E5" i="1"/>
  <c r="R25" i="1"/>
  <c r="T8" i="1"/>
  <c r="I4" i="1"/>
  <c r="S35" i="1"/>
  <c r="H3" i="1"/>
  <c r="H30" i="1"/>
  <c r="E14" i="1"/>
  <c r="I35" i="1"/>
  <c r="D17" i="1"/>
  <c r="D4" i="1"/>
  <c r="C5" i="1"/>
  <c r="T34" i="1"/>
  <c r="N30" i="1"/>
  <c r="D30" i="1"/>
  <c r="O31" i="1"/>
  <c r="S30" i="1"/>
  <c r="H14" i="1"/>
  <c r="E30" i="1"/>
  <c r="R3" i="1"/>
  <c r="O8" i="1"/>
  <c r="I23" i="1"/>
  <c r="E35" i="1"/>
  <c r="H25" i="1"/>
  <c r="S17" i="1"/>
  <c r="N13" i="1"/>
  <c r="R16" i="1"/>
  <c r="S13" i="1"/>
  <c r="I13" i="1"/>
  <c r="M31" i="1"/>
  <c r="O14" i="1"/>
  <c r="E16" i="1"/>
  <c r="N23" i="1"/>
  <c r="P23" i="1" s="1"/>
  <c r="O23" i="1"/>
  <c r="D35" i="1"/>
  <c r="O13" i="1"/>
  <c r="H23" i="1"/>
  <c r="C31" i="1"/>
  <c r="O30" i="1"/>
  <c r="D34" i="1"/>
  <c r="N17" i="1"/>
  <c r="H8" i="1"/>
  <c r="T16" i="1"/>
  <c r="E17" i="1"/>
  <c r="D16" i="1"/>
  <c r="R34" i="1"/>
  <c r="C35" i="1"/>
  <c r="O4" i="1"/>
  <c r="I3" i="1"/>
  <c r="N14" i="1"/>
  <c r="O16" i="1"/>
  <c r="J23" i="1"/>
  <c r="I16" i="1"/>
  <c r="T13" i="1"/>
  <c r="R14" i="1"/>
  <c r="C3" i="1"/>
  <c r="S34" i="1"/>
  <c r="U34" i="1" s="1"/>
  <c r="D14" i="1"/>
  <c r="M4" i="1"/>
  <c r="R31" i="1"/>
  <c r="M34" i="1"/>
  <c r="E3" i="1"/>
  <c r="N8" i="1"/>
  <c r="P8" i="1" s="1"/>
  <c r="H16" i="1"/>
  <c r="N34" i="1"/>
  <c r="S23" i="1"/>
  <c r="N5" i="1"/>
  <c r="R4" i="1"/>
  <c r="I14" i="1"/>
  <c r="N16" i="1"/>
  <c r="T23" i="1"/>
  <c r="N4" i="1"/>
  <c r="P4" i="1" s="1"/>
  <c r="I31" i="1"/>
  <c r="I34" i="1"/>
  <c r="K34" i="1" s="1"/>
  <c r="R8" i="1"/>
  <c r="T17" i="1"/>
  <c r="J13" i="1"/>
  <c r="D23" i="1"/>
  <c r="D25" i="1"/>
  <c r="N31" i="1"/>
  <c r="P31" i="1" s="1"/>
  <c r="M16" i="1"/>
  <c r="N35" i="1"/>
  <c r="J25" i="1"/>
  <c r="E13" i="1"/>
  <c r="H4" i="1"/>
  <c r="R5" i="1"/>
  <c r="J3" i="1"/>
  <c r="O25" i="1"/>
  <c r="O17" i="1"/>
  <c r="S5" i="1"/>
  <c r="C25" i="1"/>
  <c r="E23" i="1"/>
  <c r="C14" i="1"/>
  <c r="H13" i="1"/>
  <c r="E34" i="1"/>
  <c r="W34" i="1" s="1"/>
  <c r="Y34" i="1" s="1"/>
  <c r="M14" i="1"/>
  <c r="O35" i="1"/>
  <c r="I25" i="1"/>
  <c r="R23" i="1"/>
  <c r="D13" i="1"/>
  <c r="J17" i="1"/>
  <c r="I17" i="1"/>
  <c r="H17" i="1"/>
  <c r="J35" i="1"/>
  <c r="T4" i="1"/>
  <c r="T35" i="1"/>
  <c r="E4" i="1"/>
  <c r="W4" i="1" s="1"/>
  <c r="T31" i="1"/>
  <c r="D31" i="1"/>
  <c r="M35" i="1"/>
  <c r="C16" i="1"/>
  <c r="T5" i="1"/>
  <c r="H31" i="1"/>
  <c r="M3" i="1"/>
  <c r="E25" i="1"/>
  <c r="J5" i="1"/>
  <c r="J16" i="1"/>
  <c r="C4" i="1"/>
  <c r="S16" i="1"/>
  <c r="U16" i="1" s="1"/>
  <c r="H34" i="1"/>
  <c r="R17" i="1"/>
  <c r="O34" i="1"/>
  <c r="O3" i="1"/>
  <c r="C30" i="1"/>
  <c r="R13" i="1"/>
  <c r="S8" i="1"/>
  <c r="U8" i="1" s="1"/>
  <c r="M17" i="1"/>
  <c r="C23" i="1"/>
  <c r="C17" i="1"/>
  <c r="J30" i="1"/>
  <c r="M23" i="1"/>
  <c r="D8" i="1"/>
  <c r="S14" i="1"/>
  <c r="U14" i="1" s="1"/>
  <c r="M25" i="1"/>
  <c r="M13" i="1"/>
  <c r="C13" i="1"/>
  <c r="M8" i="1"/>
  <c r="R30" i="1"/>
  <c r="S4" i="1"/>
  <c r="U4" i="1" s="1"/>
  <c r="O5" i="1"/>
  <c r="J8" i="1"/>
  <c r="I5" i="1"/>
  <c r="K5" i="1" s="1"/>
  <c r="N25" i="1"/>
  <c r="P25" i="1" s="1"/>
  <c r="D3" i="1"/>
  <c r="N3" i="1"/>
  <c r="C8" i="1"/>
  <c r="T30" i="1"/>
  <c r="C34" i="1"/>
  <c r="S3" i="1"/>
  <c r="U3" i="1" s="1"/>
  <c r="S31" i="1"/>
  <c r="U31" i="1" s="1"/>
  <c r="I8" i="1"/>
  <c r="K8" i="1" s="1"/>
  <c r="J14" i="1"/>
  <c r="T25" i="1"/>
  <c r="R35" i="1"/>
  <c r="E31" i="1"/>
  <c r="W31" i="1" s="1"/>
  <c r="Y31" i="1" s="1"/>
  <c r="J31" i="1"/>
  <c r="O26" i="1"/>
  <c r="I26" i="1"/>
  <c r="E24" i="1"/>
  <c r="C24" i="1"/>
  <c r="T24" i="1"/>
  <c r="N24" i="1"/>
  <c r="M24" i="1"/>
  <c r="S24" i="1"/>
  <c r="J24" i="1"/>
  <c r="R24" i="1"/>
  <c r="O24" i="1"/>
  <c r="I24" i="1"/>
  <c r="D24" i="1"/>
  <c r="H24" i="1"/>
  <c r="R26" i="1"/>
  <c r="D22" i="1"/>
  <c r="M22" i="1"/>
  <c r="E22" i="1"/>
  <c r="T7" i="1"/>
  <c r="S7" i="1"/>
  <c r="D7" i="1"/>
  <c r="AB7" i="7"/>
  <c r="S26" i="1"/>
  <c r="N26" i="1"/>
  <c r="P26" i="1" s="1"/>
  <c r="J21" i="1"/>
  <c r="O21" i="1"/>
  <c r="N21" i="1"/>
  <c r="P21" i="1" s="1"/>
  <c r="H21" i="1"/>
  <c r="E21" i="1"/>
  <c r="W21" i="1" s="1"/>
  <c r="Y21" i="1" s="1"/>
  <c r="T21" i="1"/>
  <c r="I21" i="1"/>
  <c r="M21" i="1"/>
  <c r="R21" i="1"/>
  <c r="C21" i="1"/>
  <c r="S21" i="1"/>
  <c r="U21" i="1" s="1"/>
  <c r="D21" i="1"/>
  <c r="J22" i="1"/>
  <c r="M33" i="1"/>
  <c r="D33" i="1"/>
  <c r="I33" i="1"/>
  <c r="E33" i="1"/>
  <c r="C33" i="1"/>
  <c r="H33" i="1"/>
  <c r="R33" i="1"/>
  <c r="O33" i="1"/>
  <c r="S33" i="1"/>
  <c r="N33" i="1"/>
  <c r="T33" i="1"/>
  <c r="J33" i="1"/>
  <c r="E6" i="1"/>
  <c r="I6" i="1"/>
  <c r="O6" i="1"/>
  <c r="T6" i="1"/>
  <c r="N6" i="1"/>
  <c r="J6" i="1"/>
  <c r="D6" i="1"/>
  <c r="S6" i="1"/>
  <c r="U6" i="1" s="1"/>
  <c r="R6" i="1"/>
  <c r="C6" i="1"/>
  <c r="M6" i="1"/>
  <c r="H6" i="1"/>
  <c r="AB4" i="7"/>
  <c r="R22" i="1"/>
  <c r="H22" i="1"/>
  <c r="C22" i="1"/>
  <c r="I7" i="1"/>
  <c r="E7" i="1"/>
  <c r="O7" i="1"/>
  <c r="H26" i="1"/>
  <c r="C26" i="1"/>
  <c r="E26" i="1"/>
  <c r="AH8" i="7"/>
  <c r="T32" i="1"/>
  <c r="J32" i="1"/>
  <c r="M32" i="1"/>
  <c r="D32" i="1"/>
  <c r="N32" i="1"/>
  <c r="E32" i="1"/>
  <c r="R32" i="1"/>
  <c r="S32" i="1"/>
  <c r="H32" i="1"/>
  <c r="C32" i="1"/>
  <c r="O32" i="1"/>
  <c r="I32" i="1"/>
  <c r="H12" i="1"/>
  <c r="D12" i="1"/>
  <c r="E12" i="1"/>
  <c r="J12" i="1"/>
  <c r="M12" i="1"/>
  <c r="C12" i="1"/>
  <c r="T12" i="1"/>
  <c r="S12" i="1"/>
  <c r="I12" i="1"/>
  <c r="K12" i="1" s="1"/>
  <c r="R12" i="1"/>
  <c r="N12" i="1"/>
  <c r="P12" i="1" s="1"/>
  <c r="O12" i="1"/>
  <c r="O22" i="1"/>
  <c r="S22" i="1"/>
  <c r="J7" i="1"/>
  <c r="M7" i="1"/>
  <c r="H7" i="1"/>
  <c r="M26" i="1"/>
  <c r="J26" i="1"/>
  <c r="T26" i="1"/>
  <c r="C9" i="2"/>
  <c r="C5" i="2"/>
  <c r="C7" i="2"/>
  <c r="C4" i="2"/>
  <c r="J5" i="7"/>
  <c r="G12" i="7"/>
  <c r="BA12" i="7" s="1"/>
  <c r="G13" i="7"/>
  <c r="BA13" i="7" s="1"/>
  <c r="G16" i="7"/>
  <c r="BA16" i="7" s="1"/>
  <c r="F12" i="7"/>
  <c r="F16" i="7"/>
  <c r="F15" i="7"/>
  <c r="F13" i="7"/>
  <c r="T15" i="1"/>
  <c r="N15" i="1"/>
  <c r="J15" i="1"/>
  <c r="S15" i="1"/>
  <c r="M15" i="1"/>
  <c r="E15" i="1"/>
  <c r="I15" i="1"/>
  <c r="K15" i="1" s="1"/>
  <c r="D15" i="1"/>
  <c r="O15" i="1"/>
  <c r="H15" i="1"/>
  <c r="C15" i="1"/>
  <c r="R15" i="1"/>
  <c r="J9" i="7"/>
  <c r="I14" i="7" s="1"/>
  <c r="F17" i="7"/>
  <c r="G17" i="7"/>
  <c r="BA17" i="7" s="1"/>
  <c r="I22" i="1"/>
  <c r="K22" i="1" s="1"/>
  <c r="N22" i="1"/>
  <c r="P22" i="1" s="1"/>
  <c r="T22" i="1"/>
  <c r="R7" i="1"/>
  <c r="N7" i="1"/>
  <c r="P7" i="1" s="1"/>
  <c r="C7" i="1"/>
  <c r="C6" i="2"/>
  <c r="F14" i="7"/>
  <c r="M6" i="7"/>
  <c r="D26" i="1"/>
  <c r="J12" i="7" l="1"/>
  <c r="BB12" i="7" s="1"/>
  <c r="J16" i="7"/>
  <c r="BB16" i="7" s="1"/>
  <c r="I13" i="7"/>
  <c r="I15" i="7"/>
  <c r="I16" i="7"/>
  <c r="I12" i="7"/>
  <c r="J13" i="7"/>
  <c r="BB13" i="7" s="1"/>
  <c r="M5" i="7"/>
  <c r="J15" i="7"/>
  <c r="BB15" i="7" s="1"/>
  <c r="J14" i="7"/>
  <c r="BB14" i="7" s="1"/>
  <c r="F15" i="1"/>
  <c r="X15" i="1"/>
  <c r="U15" i="1"/>
  <c r="U12" i="1"/>
  <c r="K32" i="1"/>
  <c r="U32" i="1"/>
  <c r="X32" i="1"/>
  <c r="F32" i="1"/>
  <c r="K7" i="1"/>
  <c r="AE4" i="7"/>
  <c r="P6" i="1"/>
  <c r="W6" i="1"/>
  <c r="Y6" i="1" s="1"/>
  <c r="U33" i="1"/>
  <c r="AE7" i="7"/>
  <c r="U7" i="1"/>
  <c r="F22" i="1"/>
  <c r="X22" i="1"/>
  <c r="K24" i="1"/>
  <c r="U24" i="1"/>
  <c r="F3" i="1"/>
  <c r="X3" i="1"/>
  <c r="F8" i="1"/>
  <c r="X8" i="1"/>
  <c r="F13" i="1"/>
  <c r="X13" i="1"/>
  <c r="W23" i="1"/>
  <c r="Y23" i="1" s="1"/>
  <c r="W13" i="1"/>
  <c r="Y13" i="1" s="1"/>
  <c r="W17" i="1"/>
  <c r="Y17" i="1" s="1"/>
  <c r="X34" i="1"/>
  <c r="F34" i="1"/>
  <c r="W16" i="1"/>
  <c r="Y16" i="1" s="1"/>
  <c r="U13" i="1"/>
  <c r="W14" i="1"/>
  <c r="Y14" i="1" s="1"/>
  <c r="K4" i="1"/>
  <c r="K30" i="1"/>
  <c r="W12" i="1"/>
  <c r="Y12" i="1" s="1"/>
  <c r="W33" i="1"/>
  <c r="Y33" i="1" s="1"/>
  <c r="W24" i="1"/>
  <c r="Y24" i="1" s="1"/>
  <c r="W25" i="1"/>
  <c r="Y25" i="1" s="1"/>
  <c r="Y4" i="1"/>
  <c r="F25" i="1"/>
  <c r="X25" i="1"/>
  <c r="P5" i="1"/>
  <c r="F35" i="1"/>
  <c r="X35" i="1"/>
  <c r="W35" i="1"/>
  <c r="Y35" i="1" s="1"/>
  <c r="W30" i="1"/>
  <c r="Y30" i="1" s="1"/>
  <c r="AA34" i="1" s="1"/>
  <c r="F30" i="1"/>
  <c r="X30" i="1"/>
  <c r="F4" i="1"/>
  <c r="X4" i="1"/>
  <c r="W15" i="1"/>
  <c r="Y15" i="1" s="1"/>
  <c r="AA15" i="1" s="1"/>
  <c r="P15" i="1"/>
  <c r="U22" i="1"/>
  <c r="X12" i="1"/>
  <c r="F12" i="1"/>
  <c r="W32" i="1"/>
  <c r="Y32" i="1" s="1"/>
  <c r="AA32" i="1" s="1"/>
  <c r="AK8" i="7"/>
  <c r="F6" i="1"/>
  <c r="X6" i="1"/>
  <c r="K33" i="1"/>
  <c r="X21" i="1"/>
  <c r="F21" i="1"/>
  <c r="W22" i="1"/>
  <c r="Y22" i="1" s="1"/>
  <c r="AA21" i="1" s="1"/>
  <c r="P24" i="1"/>
  <c r="K26" i="1"/>
  <c r="K17" i="1"/>
  <c r="K25" i="1"/>
  <c r="U5" i="1"/>
  <c r="P35" i="1"/>
  <c r="X23" i="1"/>
  <c r="F23" i="1"/>
  <c r="P16" i="1"/>
  <c r="U23" i="1"/>
  <c r="W3" i="1"/>
  <c r="Y3" i="1" s="1"/>
  <c r="X14" i="1"/>
  <c r="F14" i="1"/>
  <c r="P14" i="1"/>
  <c r="P13" i="1"/>
  <c r="K23" i="1"/>
  <c r="P30" i="1"/>
  <c r="X17" i="1"/>
  <c r="F17" i="1"/>
  <c r="W8" i="1"/>
  <c r="Y8" i="1" s="1"/>
  <c r="F5" i="1"/>
  <c r="X5" i="1"/>
  <c r="F26" i="1"/>
  <c r="X26" i="1"/>
  <c r="L14" i="7"/>
  <c r="P6" i="7"/>
  <c r="M9" i="7"/>
  <c r="J17" i="7"/>
  <c r="BB17" i="7" s="1"/>
  <c r="I17" i="7"/>
  <c r="P32" i="1"/>
  <c r="W26" i="1"/>
  <c r="Y26" i="1" s="1"/>
  <c r="AA26" i="1" s="1"/>
  <c r="W7" i="1"/>
  <c r="Y7" i="1" s="1"/>
  <c r="AA7" i="1" s="1"/>
  <c r="K6" i="1"/>
  <c r="P33" i="1"/>
  <c r="X33" i="1"/>
  <c r="F33" i="1"/>
  <c r="K21" i="1"/>
  <c r="U26" i="1"/>
  <c r="F7" i="1"/>
  <c r="X7" i="1"/>
  <c r="F24" i="1"/>
  <c r="X24" i="1"/>
  <c r="P3" i="1"/>
  <c r="F31" i="1"/>
  <c r="X31" i="1"/>
  <c r="K31" i="1"/>
  <c r="K14" i="1"/>
  <c r="P34" i="1"/>
  <c r="K16" i="1"/>
  <c r="K3" i="1"/>
  <c r="X16" i="1"/>
  <c r="F16" i="1"/>
  <c r="P17" i="1"/>
  <c r="K13" i="1"/>
  <c r="U17" i="1"/>
  <c r="U30" i="1"/>
  <c r="K35" i="1"/>
  <c r="U35" i="1"/>
  <c r="W5" i="1"/>
  <c r="Y5" i="1" s="1"/>
  <c r="U25" i="1"/>
  <c r="M17" i="7" l="1"/>
  <c r="BC17" i="7" s="1"/>
  <c r="L17" i="7"/>
  <c r="P9" i="7"/>
  <c r="S6" i="7"/>
  <c r="AA3" i="1"/>
  <c r="AA31" i="1"/>
  <c r="AA12" i="1"/>
  <c r="AA17" i="1"/>
  <c r="AH4" i="7"/>
  <c r="M13" i="7"/>
  <c r="BC13" i="7" s="1"/>
  <c r="M16" i="7"/>
  <c r="BC16" i="7" s="1"/>
  <c r="L15" i="7"/>
  <c r="M12" i="7"/>
  <c r="BC12" i="7" s="1"/>
  <c r="P5" i="7"/>
  <c r="L12" i="7"/>
  <c r="L13" i="7"/>
  <c r="M15" i="7"/>
  <c r="BC15" i="7" s="1"/>
  <c r="L16" i="7"/>
  <c r="AA5" i="1"/>
  <c r="M14" i="7"/>
  <c r="BC14" i="7" s="1"/>
  <c r="AA24" i="1"/>
  <c r="AA16" i="1"/>
  <c r="AA13" i="1"/>
  <c r="AA30" i="1"/>
  <c r="AA4" i="1"/>
  <c r="AA23" i="1"/>
  <c r="AH7" i="7"/>
  <c r="AA6" i="1"/>
  <c r="AA8" i="1"/>
  <c r="AA22" i="1"/>
  <c r="AN8" i="7"/>
  <c r="AA35" i="1"/>
  <c r="AA25" i="1"/>
  <c r="AA33" i="1"/>
  <c r="AA14" i="1"/>
  <c r="P13" i="7" l="1"/>
  <c r="BD13" i="7" s="1"/>
  <c r="O15" i="7"/>
  <c r="S5" i="7"/>
  <c r="S14" i="7" s="1"/>
  <c r="BE14" i="7" s="1"/>
  <c r="P16" i="7"/>
  <c r="BD16" i="7" s="1"/>
  <c r="O12" i="7"/>
  <c r="P15" i="7"/>
  <c r="BD15" i="7" s="1"/>
  <c r="O16" i="7"/>
  <c r="O13" i="7"/>
  <c r="P12" i="7"/>
  <c r="BD12" i="7" s="1"/>
  <c r="V6" i="7"/>
  <c r="R14" i="7"/>
  <c r="P14" i="7"/>
  <c r="BD14" i="7" s="1"/>
  <c r="AQ8" i="7"/>
  <c r="P17" i="7"/>
  <c r="BD17" i="7" s="1"/>
  <c r="S9" i="7"/>
  <c r="O17" i="7"/>
  <c r="AK7" i="7"/>
  <c r="AK4" i="7"/>
  <c r="O14" i="7"/>
  <c r="AN4" i="7" l="1"/>
  <c r="AT8" i="7"/>
  <c r="V5" i="7"/>
  <c r="R15" i="7"/>
  <c r="R12" i="7"/>
  <c r="R13" i="7"/>
  <c r="S13" i="7"/>
  <c r="BE13" i="7" s="1"/>
  <c r="R16" i="7"/>
  <c r="S16" i="7"/>
  <c r="BE16" i="7" s="1"/>
  <c r="S15" i="7"/>
  <c r="BE15" i="7" s="1"/>
  <c r="S12" i="7"/>
  <c r="BE12" i="7" s="1"/>
  <c r="AN7" i="7"/>
  <c r="S17" i="7"/>
  <c r="BE17" i="7" s="1"/>
  <c r="R17" i="7"/>
  <c r="V9" i="7"/>
  <c r="V14" i="7" s="1"/>
  <c r="BF14" i="7" s="1"/>
  <c r="Y6" i="7"/>
  <c r="AB6" i="7" l="1"/>
  <c r="AQ7" i="7"/>
  <c r="AQ4" i="7"/>
  <c r="AW8" i="7"/>
  <c r="U17" i="7"/>
  <c r="Y9" i="7"/>
  <c r="V17" i="7"/>
  <c r="BF17" i="7" s="1"/>
  <c r="U14" i="7"/>
  <c r="Y5" i="7"/>
  <c r="U13" i="7"/>
  <c r="V13" i="7"/>
  <c r="BF13" i="7" s="1"/>
  <c r="U15" i="7"/>
  <c r="V12" i="7"/>
  <c r="BF12" i="7" s="1"/>
  <c r="U16" i="7"/>
  <c r="V16" i="7"/>
  <c r="BF16" i="7" s="1"/>
  <c r="V15" i="7"/>
  <c r="BF15" i="7" s="1"/>
  <c r="U12" i="7"/>
  <c r="Y17" i="7" l="1"/>
  <c r="BG17" i="7" s="1"/>
  <c r="X17" i="7"/>
  <c r="AB9" i="7"/>
  <c r="AT4" i="7"/>
  <c r="AT7" i="7"/>
  <c r="Y13" i="7"/>
  <c r="BG13" i="7" s="1"/>
  <c r="AB5" i="7"/>
  <c r="X13" i="7"/>
  <c r="X12" i="7"/>
  <c r="Y15" i="7"/>
  <c r="BG15" i="7" s="1"/>
  <c r="Y16" i="7"/>
  <c r="BG16" i="7" s="1"/>
  <c r="X15" i="7"/>
  <c r="X16" i="7"/>
  <c r="Y12" i="7"/>
  <c r="BG12" i="7" s="1"/>
  <c r="X14" i="7"/>
  <c r="AE6" i="7"/>
  <c r="AB14" i="7"/>
  <c r="BH14" i="7" s="1"/>
  <c r="AA14" i="7"/>
  <c r="Y14" i="7"/>
  <c r="BG14" i="7" s="1"/>
  <c r="AH6" i="7" l="1"/>
  <c r="AW7" i="7"/>
  <c r="AW4" i="7"/>
  <c r="AB13" i="7"/>
  <c r="BH13" i="7" s="1"/>
  <c r="AA13" i="7"/>
  <c r="AE5" i="7"/>
  <c r="AE14" i="7" s="1"/>
  <c r="BI14" i="7" s="1"/>
  <c r="AA12" i="7"/>
  <c r="AA15" i="7"/>
  <c r="AB12" i="7"/>
  <c r="BH12" i="7" s="1"/>
  <c r="AB16" i="7"/>
  <c r="BH16" i="7" s="1"/>
  <c r="AA16" i="7"/>
  <c r="AB15" i="7"/>
  <c r="BH15" i="7" s="1"/>
  <c r="AA17" i="7"/>
  <c r="AE9" i="7"/>
  <c r="AB17" i="7"/>
  <c r="BH17" i="7" s="1"/>
  <c r="AD17" i="7" l="1"/>
  <c r="AH9" i="7"/>
  <c r="AE17" i="7"/>
  <c r="BI17" i="7" s="1"/>
  <c r="AH5" i="7"/>
  <c r="AE13" i="7"/>
  <c r="BI13" i="7" s="1"/>
  <c r="AD13" i="7"/>
  <c r="AE16" i="7"/>
  <c r="BI16" i="7" s="1"/>
  <c r="AD16" i="7"/>
  <c r="AD15" i="7"/>
  <c r="AE12" i="7"/>
  <c r="BI12" i="7" s="1"/>
  <c r="AE15" i="7"/>
  <c r="BI15" i="7" s="1"/>
  <c r="AD12" i="7"/>
  <c r="AG14" i="7"/>
  <c r="AH14" i="7"/>
  <c r="BJ14" i="7" s="1"/>
  <c r="AK6" i="7"/>
  <c r="AD14" i="7"/>
  <c r="AK9" i="7" l="1"/>
  <c r="AH17" i="7"/>
  <c r="BJ17" i="7" s="1"/>
  <c r="AG17" i="7"/>
  <c r="AK5" i="7"/>
  <c r="AH13" i="7"/>
  <c r="BJ13" i="7" s="1"/>
  <c r="AG13" i="7"/>
  <c r="AH15" i="7"/>
  <c r="BJ15" i="7" s="1"/>
  <c r="AH12" i="7"/>
  <c r="BJ12" i="7" s="1"/>
  <c r="AG12" i="7"/>
  <c r="AH16" i="7"/>
  <c r="BJ16" i="7" s="1"/>
  <c r="AG16" i="7"/>
  <c r="AG15" i="7"/>
  <c r="AN6" i="7"/>
  <c r="AJ14" i="7"/>
  <c r="AK14" i="7"/>
  <c r="BK14" i="7" s="1"/>
  <c r="AN5" i="7" l="1"/>
  <c r="AJ13" i="7"/>
  <c r="AK13" i="7"/>
  <c r="BK13" i="7" s="1"/>
  <c r="AK12" i="7"/>
  <c r="BK12" i="7" s="1"/>
  <c r="AJ16" i="7"/>
  <c r="AJ12" i="7"/>
  <c r="AK15" i="7"/>
  <c r="BK15" i="7" s="1"/>
  <c r="AK16" i="7"/>
  <c r="BK16" i="7" s="1"/>
  <c r="AJ15" i="7"/>
  <c r="AQ6" i="7"/>
  <c r="AN14" i="7"/>
  <c r="BL14" i="7" s="1"/>
  <c r="AM14" i="7"/>
  <c r="AN9" i="7"/>
  <c r="AK17" i="7"/>
  <c r="BK17" i="7" s="1"/>
  <c r="AJ17" i="7"/>
  <c r="AT6" i="7" l="1"/>
  <c r="AN17" i="7"/>
  <c r="BL17" i="7" s="1"/>
  <c r="AM17" i="7"/>
  <c r="AQ9" i="7"/>
  <c r="AN13" i="7"/>
  <c r="BL13" i="7" s="1"/>
  <c r="AQ5" i="7"/>
  <c r="AM13" i="7"/>
  <c r="AM15" i="7"/>
  <c r="AN12" i="7"/>
  <c r="BL12" i="7" s="1"/>
  <c r="AN15" i="7"/>
  <c r="BL15" i="7" s="1"/>
  <c r="AN16" i="7"/>
  <c r="BL16" i="7" s="1"/>
  <c r="AM12" i="7"/>
  <c r="AM16" i="7"/>
  <c r="AQ13" i="7" l="1"/>
  <c r="BM13" i="7" s="1"/>
  <c r="AT5" i="7"/>
  <c r="AP13" i="7"/>
  <c r="AP16" i="7"/>
  <c r="AP15" i="7"/>
  <c r="AQ12" i="7"/>
  <c r="BM12" i="7" s="1"/>
  <c r="AQ16" i="7"/>
  <c r="BM16" i="7" s="1"/>
  <c r="AP12" i="7"/>
  <c r="AQ15" i="7"/>
  <c r="BM15" i="7" s="1"/>
  <c r="AP14" i="7"/>
  <c r="AT9" i="7"/>
  <c r="AQ17" i="7"/>
  <c r="BM17" i="7" s="1"/>
  <c r="AP17" i="7"/>
  <c r="AW6" i="7"/>
  <c r="AS14" i="7"/>
  <c r="AQ14" i="7"/>
  <c r="BM14" i="7" s="1"/>
  <c r="AT17" i="7" l="1"/>
  <c r="BN17" i="7" s="1"/>
  <c r="AS17" i="7"/>
  <c r="AW9" i="7"/>
  <c r="AT14" i="7"/>
  <c r="BN14" i="7" s="1"/>
  <c r="AW5" i="7"/>
  <c r="AT13" i="7"/>
  <c r="BN13" i="7" s="1"/>
  <c r="AS13" i="7"/>
  <c r="AS15" i="7"/>
  <c r="AS12" i="7"/>
  <c r="AT15" i="7"/>
  <c r="BN15" i="7" s="1"/>
  <c r="AS16" i="7"/>
  <c r="AT16" i="7"/>
  <c r="BN16" i="7" s="1"/>
  <c r="AT12" i="7"/>
  <c r="BN12" i="7" s="1"/>
  <c r="AW13" i="7" l="1"/>
  <c r="BO13" i="7" s="1"/>
  <c r="AV13" i="7"/>
  <c r="AW15" i="7"/>
  <c r="BO15" i="7" s="1"/>
  <c r="AV16" i="7"/>
  <c r="AV15" i="7"/>
  <c r="AW16" i="7"/>
  <c r="BO16" i="7" s="1"/>
  <c r="AW12" i="7"/>
  <c r="BO12" i="7" s="1"/>
  <c r="AV12" i="7"/>
  <c r="AW14" i="7"/>
  <c r="BO14" i="7" s="1"/>
  <c r="AV17" i="7"/>
  <c r="AW17" i="7"/>
  <c r="BO17" i="7" s="1"/>
  <c r="AV14" i="7"/>
</calcChain>
</file>

<file path=xl/sharedStrings.xml><?xml version="1.0" encoding="utf-8"?>
<sst xmlns="http://schemas.openxmlformats.org/spreadsheetml/2006/main" count="456" uniqueCount="81">
  <si>
    <t>Team</t>
  </si>
  <si>
    <t>2nd Runner</t>
  </si>
  <si>
    <t>3rd Runner</t>
  </si>
  <si>
    <t>4th Runner</t>
  </si>
  <si>
    <t>1st Runner</t>
  </si>
  <si>
    <t>Stage 1</t>
  </si>
  <si>
    <t>Runner</t>
  </si>
  <si>
    <t>Time</t>
  </si>
  <si>
    <t>min/km</t>
  </si>
  <si>
    <t>km</t>
  </si>
  <si>
    <t>Rank</t>
  </si>
  <si>
    <t>Stage</t>
  </si>
  <si>
    <t>Stage 2</t>
  </si>
  <si>
    <t>Stage 3</t>
  </si>
  <si>
    <t>Stage 4</t>
  </si>
  <si>
    <t>Stage 5</t>
  </si>
  <si>
    <t>Stage 6</t>
  </si>
  <si>
    <t>Stage 7</t>
  </si>
  <si>
    <t>Stage 8</t>
  </si>
  <si>
    <t xml:space="preserve">Overall </t>
  </si>
  <si>
    <t xml:space="preserve">Morning </t>
  </si>
  <si>
    <t>Stage 9</t>
  </si>
  <si>
    <t>Stage 10</t>
  </si>
  <si>
    <t>Stage 11</t>
  </si>
  <si>
    <t>Stage 12</t>
  </si>
  <si>
    <t>Stage 13</t>
  </si>
  <si>
    <t>Stage 14</t>
  </si>
  <si>
    <t xml:space="preserve">A/noon </t>
  </si>
  <si>
    <t>Ones</t>
  </si>
  <si>
    <t>Twos</t>
  </si>
  <si>
    <t>Threes</t>
  </si>
  <si>
    <t>Fours</t>
  </si>
  <si>
    <t>Dist</t>
  </si>
  <si>
    <t>Run 1</t>
  </si>
  <si>
    <t>Run 2</t>
  </si>
  <si>
    <t>Run 3</t>
  </si>
  <si>
    <t>Run 4</t>
  </si>
  <si>
    <t>Name</t>
  </si>
  <si>
    <t>Distance</t>
  </si>
  <si>
    <t>Total</t>
  </si>
  <si>
    <t>Average</t>
  </si>
  <si>
    <t>Cumulative</t>
  </si>
  <si>
    <t>Margin</t>
  </si>
  <si>
    <t>Place</t>
  </si>
  <si>
    <t>Team Name</t>
  </si>
  <si>
    <t>Count Name</t>
  </si>
  <si>
    <t>Seeding Order</t>
  </si>
  <si>
    <t>Selection Metric?</t>
  </si>
  <si>
    <t>Glenn Goodman</t>
  </si>
  <si>
    <t>Stage 15</t>
  </si>
  <si>
    <t>Stage 16</t>
  </si>
  <si>
    <t>Stage 1-4</t>
  </si>
  <si>
    <t>Simon Bevege</t>
  </si>
  <si>
    <t>Ewen Vowels</t>
  </si>
  <si>
    <t>Richard Does</t>
  </si>
  <si>
    <t>Glenn Carroll</t>
  </si>
  <si>
    <t>Anthony Mithen</t>
  </si>
  <si>
    <t>Mark Stodden</t>
  </si>
  <si>
    <t>Chris Osborne</t>
  </si>
  <si>
    <t>James Chiriano</t>
  </si>
  <si>
    <t>Martin Duchovny</t>
  </si>
  <si>
    <t>David Alcock</t>
  </si>
  <si>
    <t>Rob Dalton</t>
  </si>
  <si>
    <t>Nick Turner</t>
  </si>
  <si>
    <t>Norval Hope</t>
  </si>
  <si>
    <t>Thai Phan</t>
  </si>
  <si>
    <t>Chris Wright</t>
  </si>
  <si>
    <t>Ian Dent</t>
  </si>
  <si>
    <t>Shane Kent</t>
  </si>
  <si>
    <t>David Hartley</t>
  </si>
  <si>
    <t>Kirsten Jackson</t>
  </si>
  <si>
    <t>John Dixon</t>
  </si>
  <si>
    <t>Nick Tobin</t>
  </si>
  <si>
    <t>David Burnheim</t>
  </si>
  <si>
    <t>Simon Walker</t>
  </si>
  <si>
    <t>Purple Rain</t>
  </si>
  <si>
    <t>Stodds GPS Studs</t>
  </si>
  <si>
    <t>Suzy's Stars</t>
  </si>
  <si>
    <t>Mithos Marauders</t>
  </si>
  <si>
    <t>The Lost Blues</t>
  </si>
  <si>
    <t>Green with Envy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</si>
</sst>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"/>
  </numFmts>
  <fonts count="23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color indexed="55"/>
      <name val="Tahoma"/>
      <family val="2"/>
    </font>
    <font>
      <b/>
      <sz val="10"/>
      <color indexed="12"/>
      <name val="Tahoma"/>
      <family val="2"/>
    </font>
    <font>
      <sz val="10"/>
      <color indexed="12"/>
      <name val="Tahoma"/>
      <family val="2"/>
    </font>
    <font>
      <b/>
      <sz val="8"/>
      <color indexed="12"/>
      <name val="Tahoma"/>
      <family val="2"/>
    </font>
    <font>
      <sz val="11"/>
      <name val="Century Gothic"/>
      <family val="2"/>
    </font>
    <font>
      <sz val="10"/>
      <color indexed="22"/>
      <name val="Tahoma"/>
      <family val="2"/>
    </font>
    <font>
      <sz val="8"/>
      <color indexed="12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sz val="10"/>
      <color indexed="10"/>
      <name val="Tahoma"/>
      <family val="2"/>
    </font>
    <font>
      <sz val="10"/>
      <color indexed="10"/>
      <name val="Arial"/>
      <family val="2"/>
    </font>
    <font>
      <b/>
      <sz val="10"/>
      <color indexed="23"/>
      <name val="Tahoma"/>
      <family val="2"/>
    </font>
    <font>
      <sz val="10"/>
      <color indexed="23"/>
      <name val="Tahoma"/>
      <family val="2"/>
    </font>
    <font>
      <b/>
      <sz val="10"/>
      <color indexed="23"/>
      <name val="Webdings"/>
      <family val="1"/>
      <charset val="2"/>
    </font>
    <font>
      <b/>
      <i/>
      <sz val="10"/>
      <color indexed="12"/>
      <name val="Tahoma"/>
      <family val="2"/>
    </font>
    <font>
      <i/>
      <sz val="10"/>
      <name val="Arial"/>
      <family val="2"/>
    </font>
    <font>
      <b/>
      <i/>
      <sz val="8"/>
      <color indexed="12"/>
      <name val="Tahoma"/>
      <family val="2"/>
    </font>
    <font>
      <sz val="10"/>
      <color indexed="23"/>
      <name val="Tahoma"/>
      <family val="2"/>
    </font>
    <font>
      <u/>
      <sz val="10"/>
      <color indexed="23"/>
      <name val="Tahoma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4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Continuous"/>
    </xf>
    <xf numFmtId="2" fontId="2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Continuous"/>
    </xf>
    <xf numFmtId="164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64" fontId="2" fillId="2" borderId="8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Continuous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8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2" fontId="4" fillId="3" borderId="0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2" fontId="5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45" fontId="2" fillId="3" borderId="0" xfId="0" applyNumberFormat="1" applyFont="1" applyFill="1" applyBorder="1" applyAlignment="1" applyProtection="1">
      <alignment horizontal="center" vertical="center"/>
    </xf>
    <xf numFmtId="164" fontId="2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1" fontId="1" fillId="3" borderId="0" xfId="0" applyNumberFormat="1" applyFont="1" applyFill="1" applyAlignment="1" applyProtection="1">
      <alignment horizontal="center"/>
    </xf>
    <xf numFmtId="0" fontId="2" fillId="3" borderId="0" xfId="0" applyFont="1" applyFill="1" applyProtection="1"/>
    <xf numFmtId="2" fontId="2" fillId="3" borderId="0" xfId="0" applyNumberFormat="1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Protection="1"/>
    <xf numFmtId="0" fontId="4" fillId="4" borderId="12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left" vertical="center"/>
    </xf>
    <xf numFmtId="21" fontId="1" fillId="4" borderId="3" xfId="0" applyNumberFormat="1" applyFont="1" applyFill="1" applyBorder="1" applyAlignment="1" applyProtection="1">
      <alignment horizontal="center" vertical="center"/>
    </xf>
    <xf numFmtId="1" fontId="1" fillId="4" borderId="3" xfId="0" applyNumberFormat="1" applyFont="1" applyFill="1" applyBorder="1" applyAlignment="1" applyProtection="1">
      <alignment horizontal="center" vertical="center"/>
    </xf>
    <xf numFmtId="2" fontId="4" fillId="4" borderId="13" xfId="0" applyNumberFormat="1" applyFont="1" applyFill="1" applyBorder="1" applyAlignment="1" applyProtection="1">
      <alignment horizontal="right" vertical="center"/>
    </xf>
    <xf numFmtId="0" fontId="4" fillId="4" borderId="14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vertical="center"/>
    </xf>
    <xf numFmtId="2" fontId="5" fillId="4" borderId="3" xfId="0" applyNumberFormat="1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vertical="center"/>
      <protection locked="0"/>
    </xf>
    <xf numFmtId="45" fontId="2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2" fontId="5" fillId="3" borderId="0" xfId="0" applyNumberFormat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1" fontId="4" fillId="3" borderId="0" xfId="0" applyNumberFormat="1" applyFont="1" applyFill="1" applyAlignment="1" applyProtection="1">
      <alignment horizontal="center" vertical="center"/>
    </xf>
    <xf numFmtId="2" fontId="5" fillId="3" borderId="0" xfId="0" applyNumberFormat="1" applyFont="1" applyFill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5" xfId="0" applyNumberFormat="1" applyFont="1" applyFill="1" applyBorder="1" applyAlignment="1">
      <alignment horizontal="left" vertical="center"/>
    </xf>
    <xf numFmtId="45" fontId="2" fillId="4" borderId="8" xfId="0" applyNumberFormat="1" applyFont="1" applyFill="1" applyBorder="1" applyAlignment="1">
      <alignment horizontal="center" vertical="center"/>
    </xf>
    <xf numFmtId="21" fontId="2" fillId="4" borderId="9" xfId="0" applyNumberFormat="1" applyFont="1" applyFill="1" applyBorder="1" applyAlignment="1">
      <alignment horizontal="center" vertical="center"/>
    </xf>
    <xf numFmtId="0" fontId="0" fillId="3" borderId="0" xfId="0" applyNumberFormat="1" applyFill="1" applyAlignment="1">
      <alignment horizontal="left"/>
    </xf>
    <xf numFmtId="0" fontId="4" fillId="4" borderId="12" xfId="0" applyFont="1" applyFill="1" applyBorder="1" applyAlignment="1">
      <alignment horizontal="left" vertical="center"/>
    </xf>
    <xf numFmtId="0" fontId="4" fillId="4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Continuous" vertical="center"/>
    </xf>
    <xf numFmtId="0" fontId="4" fillId="4" borderId="13" xfId="0" applyFont="1" applyFill="1" applyBorder="1" applyAlignment="1">
      <alignment horizontal="centerContinuous" vertical="center"/>
    </xf>
    <xf numFmtId="0" fontId="0" fillId="4" borderId="14" xfId="0" applyFill="1" applyBorder="1" applyAlignment="1">
      <alignment horizontal="centerContinuous"/>
    </xf>
    <xf numFmtId="0" fontId="0" fillId="4" borderId="16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0" fontId="4" fillId="3" borderId="0" xfId="0" applyFont="1" applyFill="1"/>
    <xf numFmtId="0" fontId="4" fillId="3" borderId="0" xfId="0" applyNumberFormat="1" applyFont="1" applyFill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3" borderId="0" xfId="0" applyFont="1" applyFill="1"/>
    <xf numFmtId="0" fontId="11" fillId="3" borderId="0" xfId="0" applyFont="1" applyFill="1" applyAlignment="1">
      <alignment vertical="center"/>
    </xf>
    <xf numFmtId="0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0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left"/>
    </xf>
    <xf numFmtId="164" fontId="13" fillId="3" borderId="0" xfId="0" applyNumberFormat="1" applyFont="1" applyFill="1" applyAlignment="1">
      <alignment horizontal="center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2" fontId="8" fillId="3" borderId="0" xfId="0" applyNumberFormat="1" applyFont="1" applyFill="1" applyProtection="1"/>
    <xf numFmtId="0" fontId="2" fillId="0" borderId="3" xfId="0" applyFont="1" applyBorder="1"/>
    <xf numFmtId="4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" fillId="4" borderId="12" xfId="0" applyFont="1" applyFill="1" applyBorder="1" applyAlignment="1" applyProtection="1">
      <alignment horizontal="left" vertical="center"/>
    </xf>
    <xf numFmtId="0" fontId="17" fillId="4" borderId="12" xfId="0" applyNumberFormat="1" applyFont="1" applyFill="1" applyBorder="1" applyAlignment="1">
      <alignment horizontal="centerContinuous" vertical="center"/>
    </xf>
    <xf numFmtId="0" fontId="17" fillId="4" borderId="13" xfId="0" applyFont="1" applyFill="1" applyBorder="1" applyAlignment="1">
      <alignment horizontal="centerContinuous" vertical="center"/>
    </xf>
    <xf numFmtId="0" fontId="18" fillId="4" borderId="14" xfId="0" applyFont="1" applyFill="1" applyBorder="1" applyAlignment="1">
      <alignment horizontal="centerContinuous"/>
    </xf>
    <xf numFmtId="0" fontId="17" fillId="4" borderId="3" xfId="0" applyNumberFormat="1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0" fontId="17" fillId="3" borderId="0" xfId="0" applyNumberFormat="1" applyFont="1" applyFill="1" applyAlignment="1">
      <alignment horizontal="left"/>
    </xf>
    <xf numFmtId="0" fontId="17" fillId="4" borderId="15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8" fillId="3" borderId="0" xfId="0" applyNumberFormat="1" applyFont="1" applyFill="1" applyAlignment="1">
      <alignment horizontal="left"/>
    </xf>
    <xf numFmtId="0" fontId="18" fillId="3" borderId="0" xfId="0" applyFont="1" applyFill="1"/>
    <xf numFmtId="0" fontId="15" fillId="3" borderId="0" xfId="0" applyFont="1" applyFill="1"/>
    <xf numFmtId="21" fontId="2" fillId="0" borderId="5" xfId="0" applyNumberFormat="1" applyFont="1" applyBorder="1" applyAlignment="1">
      <alignment horizontal="center"/>
    </xf>
    <xf numFmtId="21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/>
    <xf numFmtId="0" fontId="2" fillId="0" borderId="6" xfId="0" applyFont="1" applyBorder="1"/>
    <xf numFmtId="0" fontId="1" fillId="0" borderId="0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20" fillId="3" borderId="0" xfId="0" applyFont="1" applyFill="1" applyAlignment="1">
      <alignment horizontal="center"/>
    </xf>
    <xf numFmtId="0" fontId="20" fillId="3" borderId="0" xfId="0" applyFont="1" applyFill="1"/>
    <xf numFmtId="1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1" fontId="2" fillId="0" borderId="1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5" xfId="0" applyFont="1" applyFill="1" applyBorder="1" applyAlignment="1" applyProtection="1">
      <alignment vertical="center"/>
      <protection locked="0"/>
    </xf>
    <xf numFmtId="0" fontId="2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MMM 5Ms Relay - Teams by Stage</a:t>
            </a:r>
          </a:p>
        </c:rich>
      </c:tx>
      <c:layout>
        <c:manualLayout>
          <c:xMode val="edge"/>
          <c:yMode val="edge"/>
          <c:x val="0.36401240951396069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95966907962964E-2"/>
          <c:y val="0.12585034013605442"/>
          <c:w val="0.74767321613236903"/>
          <c:h val="0.76190476190476186"/>
        </c:manualLayout>
      </c:layout>
      <c:lineChart>
        <c:grouping val="standard"/>
        <c:varyColors val="0"/>
        <c:ser>
          <c:idx val="0"/>
          <c:order val="0"/>
          <c:tx>
            <c:strRef>
              <c:f>'Teams by Stage'!$AY$12</c:f>
              <c:strCache>
                <c:ptCount val="1"/>
                <c:pt idx="0">
                  <c:v>Purple Rain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val>
            <c:numRef>
              <c:f>'Teams by Stage'!$AZ$12:$BO$12</c:f>
              <c:numCache>
                <c:formatCode>m:ss</c:formatCode>
                <c:ptCount val="16"/>
                <c:pt idx="0">
                  <c:v>2.8935185185185314E-4</c:v>
                </c:pt>
                <c:pt idx="1">
                  <c:v>3.3564814814814742E-4</c:v>
                </c:pt>
                <c:pt idx="2">
                  <c:v>1.3541666666666632E-3</c:v>
                </c:pt>
                <c:pt idx="3">
                  <c:v>9.490740740740744E-4</c:v>
                </c:pt>
                <c:pt idx="4">
                  <c:v>1.6435185185185094E-3</c:v>
                </c:pt>
                <c:pt idx="5">
                  <c:v>1.4004629629629506E-3</c:v>
                </c:pt>
                <c:pt idx="6">
                  <c:v>2.3379629629629584E-3</c:v>
                </c:pt>
                <c:pt idx="7">
                  <c:v>1.2731481481481483E-3</c:v>
                </c:pt>
                <c:pt idx="8">
                  <c:v>2.2106481481481421E-3</c:v>
                </c:pt>
                <c:pt idx="9">
                  <c:v>3.9583333333333276E-3</c:v>
                </c:pt>
                <c:pt idx="10">
                  <c:v>3.1712962962962971E-3</c:v>
                </c:pt>
                <c:pt idx="11">
                  <c:v>4.2129629629629461E-3</c:v>
                </c:pt>
                <c:pt idx="12">
                  <c:v>3.0902777777777612E-3</c:v>
                </c:pt>
                <c:pt idx="13">
                  <c:v>2.7893518518518345E-3</c:v>
                </c:pt>
                <c:pt idx="14">
                  <c:v>2.8240740740740622E-3</c:v>
                </c:pt>
                <c:pt idx="15">
                  <c:v>6.0995370370370283E-3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'Teams by Stage'!$AY$13</c:f>
              <c:strCache>
                <c:ptCount val="1"/>
                <c:pt idx="0">
                  <c:v>Stodds GPS Studs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  <a:prstDash val="solid"/>
              </a:ln>
            </c:spPr>
          </c:marker>
          <c:val>
            <c:numRef>
              <c:f>'Teams by Stage'!$AZ$13:$BO$13</c:f>
              <c:numCache>
                <c:formatCode>m:ss</c:formatCode>
                <c:ptCount val="16"/>
                <c:pt idx="0">
                  <c:v>3.1250000000000201E-4</c:v>
                </c:pt>
                <c:pt idx="1">
                  <c:v>0</c:v>
                </c:pt>
                <c:pt idx="2">
                  <c:v>3.7037037037036813E-4</c:v>
                </c:pt>
                <c:pt idx="3">
                  <c:v>3.4722222222222793E-4</c:v>
                </c:pt>
                <c:pt idx="4">
                  <c:v>1.1574074074074056E-3</c:v>
                </c:pt>
                <c:pt idx="5">
                  <c:v>3.1250000000000028E-4</c:v>
                </c:pt>
                <c:pt idx="6">
                  <c:v>1.2384259259259345E-3</c:v>
                </c:pt>
                <c:pt idx="7">
                  <c:v>8.3333333333335258E-4</c:v>
                </c:pt>
                <c:pt idx="8">
                  <c:v>9.9537037037038256E-4</c:v>
                </c:pt>
                <c:pt idx="9">
                  <c:v>1.8865740740740822E-3</c:v>
                </c:pt>
                <c:pt idx="10">
                  <c:v>4.745370370370372E-3</c:v>
                </c:pt>
                <c:pt idx="11">
                  <c:v>5.1967592592592482E-3</c:v>
                </c:pt>
                <c:pt idx="12">
                  <c:v>4.8032407407407329E-3</c:v>
                </c:pt>
                <c:pt idx="13">
                  <c:v>3.9699074074073804E-3</c:v>
                </c:pt>
                <c:pt idx="14">
                  <c:v>3.8425925925925641E-3</c:v>
                </c:pt>
                <c:pt idx="15">
                  <c:v>4.0624999999999689E-3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'Teams by Stage'!$AY$14</c:f>
              <c:strCache>
                <c:ptCount val="1"/>
                <c:pt idx="0">
                  <c:v>Suzy's Stars</c:v>
                </c:pt>
              </c:strCache>
            </c:strRef>
          </c:tx>
          <c:spPr>
            <a:ln w="38100">
              <a:solidFill>
                <a:srgbClr val="A62424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A62424"/>
              </a:solidFill>
              <a:ln>
                <a:solidFill>
                  <a:srgbClr val="A62424"/>
                </a:solidFill>
                <a:prstDash val="solid"/>
              </a:ln>
            </c:spPr>
          </c:marker>
          <c:val>
            <c:numRef>
              <c:f>'Teams by Stage'!$AZ$14:$BO$14</c:f>
              <c:numCache>
                <c:formatCode>m:ss</c:formatCode>
                <c:ptCount val="16"/>
                <c:pt idx="0">
                  <c:v>4.3981481481481649E-4</c:v>
                </c:pt>
                <c:pt idx="1">
                  <c:v>9.2592592592592032E-5</c:v>
                </c:pt>
                <c:pt idx="2">
                  <c:v>9.1435185185185022E-4</c:v>
                </c:pt>
                <c:pt idx="3">
                  <c:v>4.2824074074074292E-4</c:v>
                </c:pt>
                <c:pt idx="4">
                  <c:v>1.4814814814814795E-3</c:v>
                </c:pt>
                <c:pt idx="5">
                  <c:v>9.7222222222222154E-4</c:v>
                </c:pt>
                <c:pt idx="6">
                  <c:v>1.7129629629629717E-3</c:v>
                </c:pt>
                <c:pt idx="7">
                  <c:v>6.9444444444445586E-4</c:v>
                </c:pt>
                <c:pt idx="8">
                  <c:v>1.4351851851851921E-3</c:v>
                </c:pt>
                <c:pt idx="9">
                  <c:v>2.9166666666666646E-3</c:v>
                </c:pt>
                <c:pt idx="10">
                  <c:v>2.3958333333333331E-3</c:v>
                </c:pt>
                <c:pt idx="11">
                  <c:v>4.3287037037036957E-3</c:v>
                </c:pt>
                <c:pt idx="12">
                  <c:v>3.1018518518518556E-3</c:v>
                </c:pt>
                <c:pt idx="13">
                  <c:v>2.8009259259259289E-3</c:v>
                </c:pt>
                <c:pt idx="14">
                  <c:v>2.7083333333333404E-3</c:v>
                </c:pt>
                <c:pt idx="15">
                  <c:v>5.5787037037036968E-3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'Teams by Stage'!$AY$15</c:f>
              <c:strCache>
                <c:ptCount val="1"/>
                <c:pt idx="0">
                  <c:v>Mithos Marauders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'Teams by Stage'!$AZ$15:$BO$15</c:f>
              <c:numCache>
                <c:formatCode>m:ss</c:formatCode>
                <c:ptCount val="16"/>
                <c:pt idx="0">
                  <c:v>0</c:v>
                </c:pt>
                <c:pt idx="1">
                  <c:v>1.5046296296295988E-4</c:v>
                </c:pt>
                <c:pt idx="2">
                  <c:v>0</c:v>
                </c:pt>
                <c:pt idx="3">
                  <c:v>2.314814814815408E-5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'Teams by Stage'!$AY$16</c:f>
              <c:strCache>
                <c:ptCount val="1"/>
                <c:pt idx="0">
                  <c:v>The Lost Blues</c:v>
                </c:pt>
              </c:strCache>
            </c:strRef>
          </c:tx>
          <c:spPr>
            <a:ln w="38100">
              <a:solidFill>
                <a:srgbClr val="0099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99FF"/>
              </a:solidFill>
              <a:ln>
                <a:solidFill>
                  <a:srgbClr val="0099FF"/>
                </a:solidFill>
                <a:prstDash val="solid"/>
              </a:ln>
            </c:spPr>
          </c:marker>
          <c:val>
            <c:numRef>
              <c:f>'Teams by Stage'!$AZ$16:$BO$16</c:f>
              <c:numCache>
                <c:formatCode>m:ss</c:formatCode>
                <c:ptCount val="16"/>
                <c:pt idx="0">
                  <c:v>2.3148148148148182E-4</c:v>
                </c:pt>
                <c:pt idx="1">
                  <c:v>2.5462962962962549E-4</c:v>
                </c:pt>
                <c:pt idx="2">
                  <c:v>1.2731481481480927E-4</c:v>
                </c:pt>
                <c:pt idx="3">
                  <c:v>0</c:v>
                </c:pt>
                <c:pt idx="4">
                  <c:v>6.3657407407406719E-4</c:v>
                </c:pt>
                <c:pt idx="5">
                  <c:v>2.7777777777777263E-4</c:v>
                </c:pt>
                <c:pt idx="6">
                  <c:v>4.1666666666666241E-4</c:v>
                </c:pt>
                <c:pt idx="7">
                  <c:v>2.7777777777777957E-4</c:v>
                </c:pt>
                <c:pt idx="8">
                  <c:v>5.3240740740739811E-4</c:v>
                </c:pt>
                <c:pt idx="9">
                  <c:v>5.5555555555554526E-4</c:v>
                </c:pt>
                <c:pt idx="10">
                  <c:v>3.414351851851849E-3</c:v>
                </c:pt>
                <c:pt idx="11">
                  <c:v>4.2939814814814681E-3</c:v>
                </c:pt>
                <c:pt idx="12">
                  <c:v>4.0509259259259023E-3</c:v>
                </c:pt>
                <c:pt idx="13">
                  <c:v>4.0162037037036746E-3</c:v>
                </c:pt>
                <c:pt idx="14">
                  <c:v>4.305555555555507E-3</c:v>
                </c:pt>
                <c:pt idx="15">
                  <c:v>4.2129629629629184E-3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'Teams by Stage'!$AY$17</c:f>
              <c:strCache>
                <c:ptCount val="1"/>
                <c:pt idx="0">
                  <c:v>Green with Envy</c:v>
                </c:pt>
              </c:strCache>
            </c:strRef>
          </c:tx>
          <c:spPr>
            <a:ln>
              <a:solidFill>
                <a:srgbClr val="66FF33"/>
              </a:solidFill>
            </a:ln>
          </c:spPr>
          <c:marker>
            <c:symbol val="square"/>
            <c:size val="6"/>
            <c:spPr>
              <a:solidFill>
                <a:srgbClr val="66FF33"/>
              </a:solidFill>
              <a:ln>
                <a:solidFill>
                  <a:srgbClr val="66FF33"/>
                </a:solidFill>
                <a:prstDash val="solid"/>
              </a:ln>
            </c:spPr>
          </c:marker>
          <c:val>
            <c:numRef>
              <c:f>'Teams by Stage'!$AZ$17:$BO$17</c:f>
              <c:numCache>
                <c:formatCode>m:ss</c:formatCode>
                <c:ptCount val="16"/>
                <c:pt idx="0">
                  <c:v>2.1990740740740755E-3</c:v>
                </c:pt>
                <c:pt idx="1">
                  <c:v>1.8634259259259246E-3</c:v>
                </c:pt>
                <c:pt idx="2">
                  <c:v>1.2731481481481483E-3</c:v>
                </c:pt>
                <c:pt idx="3">
                  <c:v>1.331018518518523E-3</c:v>
                </c:pt>
                <c:pt idx="4">
                  <c:v>3.0439814814814808E-3</c:v>
                </c:pt>
                <c:pt idx="5">
                  <c:v>1.8171296296296269E-3</c:v>
                </c:pt>
                <c:pt idx="6">
                  <c:v>1.8981481481481488E-3</c:v>
                </c:pt>
                <c:pt idx="7">
                  <c:v>2.0023148148148179E-3</c:v>
                </c:pt>
                <c:pt idx="8">
                  <c:v>4.2824074074074014E-3</c:v>
                </c:pt>
                <c:pt idx="9">
                  <c:v>4.9537037037036963E-3</c:v>
                </c:pt>
                <c:pt idx="10">
                  <c:v>6.4236111111111022E-3</c:v>
                </c:pt>
                <c:pt idx="11">
                  <c:v>6.3310185185184997E-3</c:v>
                </c:pt>
                <c:pt idx="12">
                  <c:v>6.724537037037015E-3</c:v>
                </c:pt>
                <c:pt idx="13">
                  <c:v>6.8634259259258978E-3</c:v>
                </c:pt>
                <c:pt idx="14">
                  <c:v>6.331018518518472E-3</c:v>
                </c:pt>
                <c:pt idx="15">
                  <c:v>6.921296296296231E-3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793800"/>
        <c:axId val="433071248"/>
      </c:lineChart>
      <c:catAx>
        <c:axId val="361793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Stage</a:t>
                </a:r>
              </a:p>
            </c:rich>
          </c:tx>
          <c:layout>
            <c:manualLayout>
              <c:xMode val="edge"/>
              <c:yMode val="edge"/>
              <c:x val="0.43433298862461223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07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712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Minutes Behind Lead Team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35544217687074831"/>
            </c:manualLayout>
          </c:layout>
          <c:overlay val="0"/>
          <c:spPr>
            <a:noFill/>
            <a:ln w="25400">
              <a:noFill/>
            </a:ln>
          </c:spPr>
        </c:title>
        <c:numFmt formatCode="m:ss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793800"/>
        <c:crosses val="autoZero"/>
        <c:crossBetween val="between"/>
        <c:majorUnit val="2.4305555500000009E-3"/>
      </c:valAx>
      <c:spPr>
        <a:gradFill rotWithShape="0">
          <a:gsLst>
            <a:gs pos="0">
              <a:srgbClr val="FF6600"/>
            </a:gs>
            <a:gs pos="50000">
              <a:srgbClr val="FFCC99"/>
            </a:gs>
            <a:gs pos="100000">
              <a:srgbClr val="FF660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177869700103414"/>
          <c:y val="0.20691609977324263"/>
          <c:w val="0.99586349534643226"/>
          <c:h val="0.71201814058956914"/>
        </c:manualLayout>
      </c:layout>
      <c:overlay val="0"/>
      <c:spPr>
        <a:solidFill>
          <a:schemeClr val="accent6">
            <a:lumMod val="40000"/>
            <a:lumOff val="60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zoomScale="115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7"/>
  <sheetViews>
    <sheetView tabSelected="1" workbookViewId="0">
      <selection activeCell="B37" sqref="B37"/>
    </sheetView>
  </sheetViews>
  <sheetFormatPr defaultRowHeight="12.75" x14ac:dyDescent="0.2"/>
  <cols>
    <col min="1" max="1" width="3.42578125" style="120" customWidth="1"/>
    <col min="2" max="2" width="48.7109375" style="121" bestFit="1" customWidth="1"/>
    <col min="3" max="3" width="4.7109375" style="121" customWidth="1"/>
    <col min="4" max="4" width="20.7109375" style="120" customWidth="1"/>
    <col min="5" max="5" width="4.7109375" style="121" customWidth="1"/>
    <col min="6" max="6" width="20.7109375" style="120" customWidth="1"/>
    <col min="7" max="7" width="4.7109375" style="121" customWidth="1"/>
    <col min="8" max="8" width="20.7109375" style="120" customWidth="1"/>
    <col min="9" max="9" width="4.7109375" style="121" customWidth="1"/>
    <col min="10" max="10" width="20.7109375" style="120" customWidth="1"/>
    <col min="11" max="11" width="17.42578125" style="120" customWidth="1"/>
    <col min="12" max="16" width="9.140625" style="120"/>
    <col min="17" max="16384" width="9.140625" style="122"/>
  </cols>
  <sheetData>
    <row r="1" spans="1:16" s="123" customFormat="1" x14ac:dyDescent="0.2">
      <c r="A1" s="27"/>
      <c r="B1" s="28"/>
      <c r="C1" s="28"/>
      <c r="D1" s="27"/>
      <c r="E1" s="28"/>
      <c r="F1" s="27"/>
      <c r="G1" s="28"/>
      <c r="H1" s="27"/>
      <c r="I1" s="28"/>
      <c r="J1" s="27"/>
      <c r="K1" s="27"/>
      <c r="L1" s="27"/>
      <c r="M1" s="27"/>
      <c r="N1" s="27"/>
      <c r="O1" s="27"/>
      <c r="P1" s="27"/>
    </row>
    <row r="2" spans="1:16" s="124" customFormat="1" ht="20.100000000000001" customHeight="1" x14ac:dyDescent="0.2">
      <c r="A2" s="33"/>
      <c r="B2" s="35" t="s">
        <v>44</v>
      </c>
      <c r="C2" s="36" t="s">
        <v>4</v>
      </c>
      <c r="D2" s="36"/>
      <c r="E2" s="36" t="s">
        <v>1</v>
      </c>
      <c r="F2" s="36"/>
      <c r="G2" s="36" t="s">
        <v>2</v>
      </c>
      <c r="H2" s="36"/>
      <c r="I2" s="36" t="s">
        <v>3</v>
      </c>
      <c r="J2" s="36"/>
      <c r="K2" s="135" t="s">
        <v>47</v>
      </c>
      <c r="L2" s="33"/>
      <c r="M2" s="33"/>
      <c r="N2" s="33"/>
      <c r="O2" s="33"/>
      <c r="P2" s="33"/>
    </row>
    <row r="3" spans="1:16" s="125" customFormat="1" ht="18.75" customHeight="1" x14ac:dyDescent="0.2">
      <c r="A3" s="34"/>
      <c r="B3" s="138" t="s">
        <v>75</v>
      </c>
      <c r="C3" s="134">
        <v>1</v>
      </c>
      <c r="D3" s="38" t="str">
        <f>VLOOKUP(C3,$I$12:$J$35,2,FALSE)</f>
        <v>Simon Bevege</v>
      </c>
      <c r="E3" s="37">
        <v>10</v>
      </c>
      <c r="F3" s="38" t="str">
        <f t="shared" ref="F3:F8" si="0">VLOOKUP(E3,$I$12:$J$47,2,FALSE)</f>
        <v>Norval Hope</v>
      </c>
      <c r="G3" s="37">
        <v>12</v>
      </c>
      <c r="H3" s="38" t="str">
        <f t="shared" ref="H3:H8" si="1">VLOOKUP(G3,$I$12:$J$47,2,FALSE)</f>
        <v>Thai Phan</v>
      </c>
      <c r="I3" s="37">
        <v>23</v>
      </c>
      <c r="J3" s="38" t="str">
        <f t="shared" ref="J3:J8" si="2">VLOOKUP(I3,$I$12:$J$47,2,FALSE)</f>
        <v>David Burnheim</v>
      </c>
      <c r="K3" s="136">
        <f t="shared" ref="K3:K8" si="3">+C3+E3+G3+I3</f>
        <v>46</v>
      </c>
      <c r="L3" s="33"/>
      <c r="M3" s="34"/>
      <c r="N3" s="34"/>
      <c r="O3" s="34"/>
      <c r="P3" s="34"/>
    </row>
    <row r="4" spans="1:16" s="125" customFormat="1" ht="18.75" customHeight="1" x14ac:dyDescent="0.2">
      <c r="A4" s="34"/>
      <c r="B4" s="138" t="s">
        <v>76</v>
      </c>
      <c r="C4" s="134">
        <v>2</v>
      </c>
      <c r="D4" s="38" t="str">
        <f>VLOOKUP(C4,$I$12:$J$47,2,FALSE)</f>
        <v>Mark Stodden</v>
      </c>
      <c r="E4" s="37">
        <v>11</v>
      </c>
      <c r="F4" s="38" t="str">
        <f t="shared" si="0"/>
        <v>Glenn Goodman</v>
      </c>
      <c r="G4" s="37">
        <v>15</v>
      </c>
      <c r="H4" s="38" t="str">
        <f t="shared" si="1"/>
        <v>Shane Kent</v>
      </c>
      <c r="I4" s="37">
        <v>24</v>
      </c>
      <c r="J4" s="38" t="str">
        <f t="shared" si="2"/>
        <v>Simon Walker</v>
      </c>
      <c r="K4" s="136">
        <f t="shared" si="3"/>
        <v>52</v>
      </c>
      <c r="L4" s="33"/>
      <c r="M4" s="34"/>
      <c r="N4" s="34"/>
      <c r="O4" s="34"/>
      <c r="P4" s="34"/>
    </row>
    <row r="5" spans="1:16" s="125" customFormat="1" ht="18.75" customHeight="1" x14ac:dyDescent="0.2">
      <c r="A5" s="34"/>
      <c r="B5" s="138" t="s">
        <v>77</v>
      </c>
      <c r="C5" s="134">
        <v>3</v>
      </c>
      <c r="D5" s="38" t="str">
        <f>VLOOKUP(C5,$I$12:$J$47,2,FALSE)</f>
        <v>Richard Does</v>
      </c>
      <c r="E5" s="37">
        <v>9</v>
      </c>
      <c r="F5" s="38" t="str">
        <f t="shared" si="0"/>
        <v>Ewen Vowels</v>
      </c>
      <c r="G5" s="37">
        <v>14</v>
      </c>
      <c r="H5" s="38" t="str">
        <f t="shared" si="1"/>
        <v>Ian Dent</v>
      </c>
      <c r="I5" s="37">
        <v>22</v>
      </c>
      <c r="J5" s="38" t="str">
        <f t="shared" si="2"/>
        <v>Nick Tobin</v>
      </c>
      <c r="K5" s="136">
        <f t="shared" si="3"/>
        <v>48</v>
      </c>
      <c r="L5" s="33"/>
      <c r="M5" s="34"/>
      <c r="N5" s="34"/>
      <c r="O5" s="34"/>
      <c r="P5" s="34"/>
    </row>
    <row r="6" spans="1:16" s="125" customFormat="1" ht="18.75" customHeight="1" x14ac:dyDescent="0.2">
      <c r="A6" s="34"/>
      <c r="B6" s="138" t="s">
        <v>78</v>
      </c>
      <c r="C6" s="134">
        <v>4</v>
      </c>
      <c r="D6" s="38" t="str">
        <f>VLOOKUP(C6,$I$12:$J$47,2,FALSE)</f>
        <v>Anthony Mithen</v>
      </c>
      <c r="E6" s="37">
        <v>13</v>
      </c>
      <c r="F6" s="38" t="str">
        <f t="shared" si="0"/>
        <v>Chris Wright</v>
      </c>
      <c r="G6" s="37">
        <v>16</v>
      </c>
      <c r="H6" s="38" t="str">
        <f t="shared" si="1"/>
        <v>David Hartley</v>
      </c>
      <c r="I6" s="37">
        <v>21</v>
      </c>
      <c r="J6" s="38" t="str">
        <f t="shared" si="2"/>
        <v>John Dixon</v>
      </c>
      <c r="K6" s="136">
        <f t="shared" si="3"/>
        <v>54</v>
      </c>
      <c r="L6" s="137"/>
      <c r="M6" s="34"/>
      <c r="N6" s="34"/>
      <c r="O6" s="34"/>
      <c r="P6" s="34"/>
    </row>
    <row r="7" spans="1:16" s="125" customFormat="1" ht="18.75" customHeight="1" x14ac:dyDescent="0.2">
      <c r="A7" s="34"/>
      <c r="B7" s="138" t="s">
        <v>79</v>
      </c>
      <c r="C7" s="134">
        <v>5</v>
      </c>
      <c r="D7" s="38" t="str">
        <f>VLOOKUP(C7,$I$12:$J$47,2,FALSE)</f>
        <v>David Alcock</v>
      </c>
      <c r="E7" s="37">
        <v>7</v>
      </c>
      <c r="F7" s="38" t="str">
        <f t="shared" si="0"/>
        <v>Glenn Carroll</v>
      </c>
      <c r="G7" s="37">
        <v>17</v>
      </c>
      <c r="H7" s="38" t="str">
        <f t="shared" si="1"/>
        <v>Chris Osborne</v>
      </c>
      <c r="I7" s="37">
        <v>20</v>
      </c>
      <c r="J7" s="38" t="str">
        <f t="shared" si="2"/>
        <v>Martin Duchovny</v>
      </c>
      <c r="K7" s="136">
        <f t="shared" si="3"/>
        <v>49</v>
      </c>
      <c r="L7" s="33"/>
      <c r="M7" s="34"/>
      <c r="N7" s="34"/>
      <c r="O7" s="34"/>
      <c r="P7" s="34"/>
    </row>
    <row r="8" spans="1:16" s="125" customFormat="1" ht="18.75" customHeight="1" x14ac:dyDescent="0.2">
      <c r="A8" s="34"/>
      <c r="B8" s="138" t="s">
        <v>80</v>
      </c>
      <c r="C8" s="134">
        <v>6</v>
      </c>
      <c r="D8" s="38" t="str">
        <f>VLOOKUP(C8,$I$12:$J$47,2,FALSE)</f>
        <v>Rob Dalton</v>
      </c>
      <c r="E8" s="37">
        <v>8</v>
      </c>
      <c r="F8" s="38" t="str">
        <f t="shared" si="0"/>
        <v>Nick Turner</v>
      </c>
      <c r="G8" s="37">
        <v>18</v>
      </c>
      <c r="H8" s="38" t="str">
        <f t="shared" si="1"/>
        <v>Kirsten Jackson</v>
      </c>
      <c r="I8" s="37">
        <v>19</v>
      </c>
      <c r="J8" s="38" t="str">
        <f t="shared" si="2"/>
        <v>James Chiriano</v>
      </c>
      <c r="K8" s="136">
        <f t="shared" si="3"/>
        <v>51</v>
      </c>
      <c r="L8" s="33"/>
      <c r="M8" s="34"/>
      <c r="N8" s="34"/>
      <c r="O8" s="34"/>
      <c r="P8" s="34"/>
    </row>
    <row r="9" spans="1:16" x14ac:dyDescent="0.2">
      <c r="A9" s="29"/>
      <c r="B9" s="39"/>
      <c r="C9" s="29"/>
      <c r="D9" s="29"/>
      <c r="E9" s="31"/>
      <c r="F9" s="29"/>
      <c r="G9" s="31"/>
      <c r="H9" s="29"/>
      <c r="I9" s="31"/>
      <c r="J9" s="29"/>
      <c r="K9" s="29"/>
      <c r="L9" s="29"/>
      <c r="M9" s="29"/>
      <c r="N9" s="29"/>
      <c r="O9" s="29"/>
      <c r="P9" s="29"/>
    </row>
    <row r="10" spans="1:16" x14ac:dyDescent="0.2">
      <c r="A10" s="29"/>
      <c r="B10" s="39"/>
      <c r="C10" s="29"/>
      <c r="D10" s="29"/>
      <c r="E10" s="31"/>
      <c r="F10" s="29"/>
      <c r="G10" s="31"/>
      <c r="H10" s="29"/>
      <c r="I10" s="31"/>
      <c r="J10" s="29"/>
      <c r="K10" s="29"/>
      <c r="L10" s="29"/>
      <c r="M10" s="29"/>
      <c r="N10" s="29"/>
      <c r="O10" s="29"/>
      <c r="P10" s="29"/>
    </row>
    <row r="11" spans="1:16" x14ac:dyDescent="0.2">
      <c r="A11" s="29"/>
      <c r="B11" s="39"/>
      <c r="C11" s="29"/>
      <c r="D11" s="29"/>
      <c r="E11" s="31"/>
      <c r="F11" s="29"/>
      <c r="G11" s="31"/>
      <c r="H11" s="29"/>
      <c r="I11" s="169" t="s">
        <v>46</v>
      </c>
      <c r="J11" s="169"/>
      <c r="K11" s="29"/>
      <c r="L11" s="29"/>
      <c r="M11" s="29"/>
      <c r="N11" s="29"/>
      <c r="O11" s="29"/>
      <c r="P11" s="29"/>
    </row>
    <row r="12" spans="1:16" x14ac:dyDescent="0.2">
      <c r="A12" s="29"/>
      <c r="B12" s="39"/>
      <c r="C12" s="29"/>
      <c r="D12" s="29"/>
      <c r="E12" s="31"/>
      <c r="F12" s="29"/>
      <c r="G12" s="31"/>
      <c r="H12" s="29"/>
      <c r="I12" s="159">
        <v>1</v>
      </c>
      <c r="J12" s="160" t="s">
        <v>52</v>
      </c>
      <c r="K12" s="29"/>
      <c r="L12" s="29"/>
      <c r="M12" s="29"/>
      <c r="N12" s="29"/>
      <c r="O12" s="29"/>
      <c r="P12" s="29"/>
    </row>
    <row r="13" spans="1:16" x14ac:dyDescent="0.2">
      <c r="A13" s="29"/>
      <c r="B13" s="39"/>
      <c r="C13" s="29"/>
      <c r="D13" s="29"/>
      <c r="E13" s="31"/>
      <c r="F13" s="29"/>
      <c r="G13" s="31"/>
      <c r="H13" s="29"/>
      <c r="I13" s="159">
        <v>2</v>
      </c>
      <c r="J13" s="160" t="s">
        <v>57</v>
      </c>
      <c r="K13" s="29"/>
      <c r="L13" s="29"/>
      <c r="M13" s="29"/>
      <c r="N13" s="29"/>
      <c r="O13" s="29"/>
      <c r="P13" s="29"/>
    </row>
    <row r="14" spans="1:16" x14ac:dyDescent="0.2">
      <c r="A14" s="29"/>
      <c r="B14" s="39"/>
      <c r="C14" s="29"/>
      <c r="D14" s="29"/>
      <c r="E14" s="31"/>
      <c r="F14" s="29"/>
      <c r="G14" s="31"/>
      <c r="H14" s="29"/>
      <c r="I14" s="159">
        <v>3</v>
      </c>
      <c r="J14" s="160" t="s">
        <v>54</v>
      </c>
      <c r="K14" s="29"/>
      <c r="L14" s="29"/>
      <c r="M14" s="29"/>
      <c r="N14" s="29"/>
      <c r="O14" s="29"/>
      <c r="P14" s="29"/>
    </row>
    <row r="15" spans="1:16" x14ac:dyDescent="0.2">
      <c r="A15" s="29"/>
      <c r="B15" s="39"/>
      <c r="C15" s="29"/>
      <c r="D15" s="29"/>
      <c r="E15" s="31"/>
      <c r="F15" s="29"/>
      <c r="G15" s="31"/>
      <c r="H15" s="29"/>
      <c r="I15" s="159">
        <v>4</v>
      </c>
      <c r="J15" s="160" t="s">
        <v>56</v>
      </c>
      <c r="K15" s="29"/>
      <c r="L15" s="29"/>
      <c r="M15" s="29"/>
      <c r="N15" s="29"/>
      <c r="O15" s="29"/>
      <c r="P15" s="29"/>
    </row>
    <row r="16" spans="1:16" x14ac:dyDescent="0.2">
      <c r="A16" s="29"/>
      <c r="B16" s="39"/>
      <c r="C16" s="29"/>
      <c r="D16" s="29"/>
      <c r="E16" s="31"/>
      <c r="F16" s="29"/>
      <c r="G16" s="31"/>
      <c r="H16" s="29"/>
      <c r="I16" s="159">
        <v>5</v>
      </c>
      <c r="J16" s="160" t="s">
        <v>61</v>
      </c>
      <c r="K16" s="29"/>
      <c r="L16" s="29"/>
      <c r="M16" s="29"/>
      <c r="N16" s="29"/>
      <c r="O16" s="29"/>
      <c r="P16" s="29"/>
    </row>
    <row r="17" spans="1:16" x14ac:dyDescent="0.2">
      <c r="A17" s="29"/>
      <c r="B17" s="39"/>
      <c r="C17" s="29"/>
      <c r="D17" s="29"/>
      <c r="E17" s="31"/>
      <c r="F17" s="29"/>
      <c r="G17" s="31"/>
      <c r="H17" s="29"/>
      <c r="I17" s="159">
        <v>6</v>
      </c>
      <c r="J17" s="160" t="s">
        <v>62</v>
      </c>
      <c r="K17" s="29"/>
      <c r="L17" s="29"/>
      <c r="M17" s="29"/>
      <c r="N17" s="29"/>
      <c r="O17" s="29"/>
      <c r="P17" s="29"/>
    </row>
    <row r="18" spans="1:16" x14ac:dyDescent="0.2">
      <c r="A18" s="29"/>
      <c r="B18" s="39"/>
      <c r="C18" s="29"/>
      <c r="D18" s="29"/>
      <c r="E18" s="31"/>
      <c r="F18" s="29"/>
      <c r="G18" s="31"/>
      <c r="H18" s="29"/>
      <c r="I18" s="159">
        <v>7</v>
      </c>
      <c r="J18" s="160" t="s">
        <v>55</v>
      </c>
      <c r="K18" s="29"/>
      <c r="L18" s="29"/>
      <c r="M18" s="29"/>
      <c r="N18" s="29"/>
      <c r="O18" s="29"/>
      <c r="P18" s="29"/>
    </row>
    <row r="19" spans="1:16" x14ac:dyDescent="0.2">
      <c r="A19" s="29"/>
      <c r="B19" s="39"/>
      <c r="C19" s="29"/>
      <c r="D19" s="29"/>
      <c r="E19" s="31"/>
      <c r="F19" s="29"/>
      <c r="G19" s="31"/>
      <c r="H19" s="29"/>
      <c r="I19" s="159">
        <v>8</v>
      </c>
      <c r="J19" s="160" t="s">
        <v>63</v>
      </c>
      <c r="K19" s="29"/>
      <c r="L19" s="29"/>
      <c r="M19" s="29"/>
      <c r="N19" s="29"/>
      <c r="O19" s="29"/>
      <c r="P19" s="29"/>
    </row>
    <row r="20" spans="1:16" x14ac:dyDescent="0.2">
      <c r="A20" s="29"/>
      <c r="B20" s="39"/>
      <c r="C20" s="29"/>
      <c r="D20" s="29"/>
      <c r="E20" s="31"/>
      <c r="F20" s="29"/>
      <c r="G20" s="31"/>
      <c r="H20" s="29"/>
      <c r="I20" s="159">
        <v>9</v>
      </c>
      <c r="J20" s="160" t="s">
        <v>53</v>
      </c>
      <c r="K20" s="29"/>
      <c r="L20" s="29"/>
      <c r="M20" s="29"/>
      <c r="N20" s="29"/>
      <c r="O20" s="29"/>
      <c r="P20" s="29"/>
    </row>
    <row r="21" spans="1:16" x14ac:dyDescent="0.2">
      <c r="A21" s="29"/>
      <c r="B21" s="39"/>
      <c r="C21" s="29"/>
      <c r="D21" s="29"/>
      <c r="E21" s="31"/>
      <c r="F21" s="29"/>
      <c r="G21" s="31"/>
      <c r="H21" s="29"/>
      <c r="I21" s="159">
        <v>10</v>
      </c>
      <c r="J21" s="160" t="s">
        <v>64</v>
      </c>
      <c r="K21" s="29"/>
      <c r="L21" s="29"/>
      <c r="M21" s="29"/>
      <c r="N21" s="29"/>
      <c r="O21" s="29"/>
      <c r="P21" s="29"/>
    </row>
    <row r="22" spans="1:16" x14ac:dyDescent="0.2">
      <c r="A22" s="29"/>
      <c r="B22" s="39"/>
      <c r="C22" s="29"/>
      <c r="D22" s="29"/>
      <c r="E22" s="31"/>
      <c r="F22" s="29"/>
      <c r="G22" s="31"/>
      <c r="H22" s="29"/>
      <c r="I22" s="159">
        <v>11</v>
      </c>
      <c r="J22" s="160" t="s">
        <v>48</v>
      </c>
      <c r="K22" s="29"/>
      <c r="L22" s="29"/>
      <c r="M22" s="29"/>
      <c r="N22" s="29"/>
      <c r="O22" s="29"/>
      <c r="P22" s="29"/>
    </row>
    <row r="23" spans="1:16" x14ac:dyDescent="0.2">
      <c r="A23" s="29"/>
      <c r="B23" s="39"/>
      <c r="C23" s="29"/>
      <c r="D23" s="29"/>
      <c r="E23" s="31"/>
      <c r="F23" s="29"/>
      <c r="G23" s="31"/>
      <c r="H23" s="29"/>
      <c r="I23" s="159">
        <v>12</v>
      </c>
      <c r="J23" s="160" t="s">
        <v>65</v>
      </c>
      <c r="K23" s="29"/>
      <c r="L23" s="29"/>
      <c r="M23" s="29"/>
      <c r="N23" s="29"/>
      <c r="O23" s="29"/>
      <c r="P23" s="29"/>
    </row>
    <row r="24" spans="1:16" x14ac:dyDescent="0.2">
      <c r="A24" s="29"/>
      <c r="B24" s="30"/>
      <c r="C24" s="31"/>
      <c r="D24" s="29"/>
      <c r="E24" s="31"/>
      <c r="F24" s="29"/>
      <c r="G24" s="31"/>
      <c r="H24" s="29"/>
      <c r="I24" s="159">
        <v>13</v>
      </c>
      <c r="J24" s="160" t="s">
        <v>66</v>
      </c>
      <c r="K24" s="29"/>
      <c r="L24" s="29"/>
      <c r="M24" s="29"/>
      <c r="N24" s="29"/>
      <c r="O24" s="29"/>
      <c r="P24" s="29"/>
    </row>
    <row r="25" spans="1:16" x14ac:dyDescent="0.2">
      <c r="A25" s="29"/>
      <c r="B25" s="30"/>
      <c r="C25" s="31"/>
      <c r="D25" s="29"/>
      <c r="E25" s="31"/>
      <c r="F25" s="29"/>
      <c r="G25" s="31"/>
      <c r="H25" s="29"/>
      <c r="I25" s="159">
        <v>14</v>
      </c>
      <c r="J25" s="160" t="s">
        <v>67</v>
      </c>
      <c r="K25" s="29"/>
      <c r="L25" s="29"/>
      <c r="M25" s="29"/>
      <c r="N25" s="29"/>
      <c r="O25" s="29"/>
      <c r="P25" s="29"/>
    </row>
    <row r="26" spans="1:16" x14ac:dyDescent="0.2">
      <c r="A26" s="29"/>
      <c r="B26" s="30"/>
      <c r="C26" s="31"/>
      <c r="D26" s="29"/>
      <c r="E26" s="31"/>
      <c r="F26" s="29"/>
      <c r="G26" s="31"/>
      <c r="H26" s="29"/>
      <c r="I26" s="159">
        <v>15</v>
      </c>
      <c r="J26" s="160" t="s">
        <v>68</v>
      </c>
      <c r="K26" s="29"/>
      <c r="L26" s="29"/>
      <c r="M26" s="29"/>
      <c r="N26" s="29"/>
      <c r="O26" s="29"/>
      <c r="P26" s="29"/>
    </row>
    <row r="27" spans="1:16" x14ac:dyDescent="0.2">
      <c r="A27" s="29"/>
      <c r="B27" s="31"/>
      <c r="C27" s="31"/>
      <c r="D27" s="29"/>
      <c r="E27" s="31"/>
      <c r="F27" s="29"/>
      <c r="G27" s="31"/>
      <c r="H27" s="29"/>
      <c r="I27" s="159">
        <v>16</v>
      </c>
      <c r="J27" s="160" t="s">
        <v>69</v>
      </c>
      <c r="K27" s="29"/>
      <c r="L27" s="29"/>
      <c r="M27" s="29"/>
      <c r="N27" s="29"/>
      <c r="O27" s="29"/>
      <c r="P27" s="29"/>
    </row>
    <row r="28" spans="1:16" x14ac:dyDescent="0.2">
      <c r="A28" s="29"/>
      <c r="B28" s="31"/>
      <c r="C28" s="31"/>
      <c r="D28" s="29"/>
      <c r="E28" s="31"/>
      <c r="F28" s="29"/>
      <c r="G28" s="31"/>
      <c r="H28" s="29"/>
      <c r="I28" s="159">
        <v>17</v>
      </c>
      <c r="J28" s="160" t="s">
        <v>58</v>
      </c>
      <c r="K28" s="29"/>
      <c r="L28" s="29"/>
      <c r="M28" s="29"/>
      <c r="N28" s="29"/>
      <c r="O28" s="29"/>
      <c r="P28" s="29"/>
    </row>
    <row r="29" spans="1:16" x14ac:dyDescent="0.2">
      <c r="A29" s="29"/>
      <c r="B29" s="31"/>
      <c r="C29" s="31"/>
      <c r="D29" s="29"/>
      <c r="E29" s="31"/>
      <c r="F29" s="29"/>
      <c r="G29" s="31"/>
      <c r="H29" s="29"/>
      <c r="I29" s="159">
        <v>18</v>
      </c>
      <c r="J29" s="160" t="s">
        <v>70</v>
      </c>
      <c r="K29" s="29"/>
      <c r="L29" s="29"/>
      <c r="M29" s="29"/>
      <c r="N29" s="29"/>
      <c r="O29" s="29"/>
      <c r="P29" s="29"/>
    </row>
    <row r="30" spans="1:16" x14ac:dyDescent="0.2">
      <c r="A30" s="29"/>
      <c r="B30" s="31"/>
      <c r="C30" s="31"/>
      <c r="D30" s="29"/>
      <c r="E30" s="31"/>
      <c r="F30" s="29"/>
      <c r="G30" s="31"/>
      <c r="H30" s="29"/>
      <c r="I30" s="159">
        <v>19</v>
      </c>
      <c r="J30" s="160" t="s">
        <v>59</v>
      </c>
      <c r="K30" s="29"/>
      <c r="L30" s="29"/>
      <c r="M30" s="29"/>
      <c r="N30" s="29"/>
      <c r="O30" s="29"/>
      <c r="P30" s="29"/>
    </row>
    <row r="31" spans="1:16" x14ac:dyDescent="0.2">
      <c r="A31" s="29"/>
      <c r="B31" s="31"/>
      <c r="C31" s="31"/>
      <c r="D31" s="32"/>
      <c r="E31" s="31"/>
      <c r="F31" s="32"/>
      <c r="G31" s="31"/>
      <c r="H31" s="29"/>
      <c r="I31" s="159">
        <v>20</v>
      </c>
      <c r="J31" s="160" t="s">
        <v>60</v>
      </c>
      <c r="K31" s="29"/>
      <c r="L31" s="29"/>
      <c r="M31" s="29"/>
      <c r="N31" s="29"/>
      <c r="O31" s="29"/>
      <c r="P31" s="29"/>
    </row>
    <row r="32" spans="1:16" x14ac:dyDescent="0.2">
      <c r="A32" s="29"/>
      <c r="B32" s="31"/>
      <c r="C32" s="31"/>
      <c r="D32" s="32"/>
      <c r="E32" s="31"/>
      <c r="F32" s="32"/>
      <c r="G32" s="31"/>
      <c r="H32" s="29"/>
      <c r="I32" s="159">
        <v>21</v>
      </c>
      <c r="J32" s="160" t="s">
        <v>71</v>
      </c>
      <c r="K32" s="29"/>
      <c r="L32" s="29"/>
      <c r="M32" s="29"/>
      <c r="N32" s="29"/>
      <c r="O32" s="29"/>
      <c r="P32" s="29"/>
    </row>
    <row r="33" spans="1:16" x14ac:dyDescent="0.2">
      <c r="A33" s="29"/>
      <c r="B33" s="31"/>
      <c r="C33" s="31"/>
      <c r="D33" s="32"/>
      <c r="E33" s="31"/>
      <c r="F33" s="32"/>
      <c r="G33" s="31"/>
      <c r="H33" s="29"/>
      <c r="I33" s="159">
        <v>22</v>
      </c>
      <c r="J33" s="160" t="s">
        <v>72</v>
      </c>
      <c r="K33" s="29"/>
      <c r="L33" s="29"/>
      <c r="M33" s="29"/>
      <c r="N33" s="29"/>
      <c r="O33" s="29"/>
      <c r="P33" s="29"/>
    </row>
    <row r="34" spans="1:16" x14ac:dyDescent="0.2">
      <c r="A34" s="29"/>
      <c r="B34" s="31"/>
      <c r="C34" s="31"/>
      <c r="D34" s="32"/>
      <c r="E34" s="31"/>
      <c r="F34" s="32"/>
      <c r="G34" s="31"/>
      <c r="H34" s="29"/>
      <c r="I34" s="159">
        <v>23</v>
      </c>
      <c r="J34" s="160" t="s">
        <v>73</v>
      </c>
      <c r="K34" s="29"/>
      <c r="L34" s="29"/>
      <c r="M34" s="29"/>
      <c r="N34" s="29"/>
      <c r="O34" s="29"/>
      <c r="P34" s="29"/>
    </row>
    <row r="35" spans="1:16" x14ac:dyDescent="0.2">
      <c r="A35" s="29"/>
      <c r="B35" s="31"/>
      <c r="C35" s="31"/>
      <c r="D35" s="32"/>
      <c r="E35" s="31"/>
      <c r="F35" s="32"/>
      <c r="G35" s="31"/>
      <c r="H35" s="29"/>
      <c r="I35" s="159">
        <v>24</v>
      </c>
      <c r="J35" s="160" t="s">
        <v>74</v>
      </c>
      <c r="K35" s="29"/>
      <c r="L35" s="29"/>
      <c r="M35" s="29"/>
      <c r="N35" s="29"/>
      <c r="O35" s="29"/>
      <c r="P35" s="29"/>
    </row>
    <row r="36" spans="1:16" x14ac:dyDescent="0.2">
      <c r="A36" s="29"/>
      <c r="B36" s="31"/>
      <c r="C36" s="31"/>
      <c r="D36" s="32"/>
      <c r="E36" s="31"/>
      <c r="F36" s="32"/>
      <c r="G36" s="31"/>
      <c r="H36" s="29"/>
      <c r="I36" s="159"/>
      <c r="J36" s="160"/>
      <c r="K36" s="29"/>
      <c r="L36" s="29"/>
      <c r="M36" s="29"/>
      <c r="N36" s="29"/>
      <c r="O36" s="29"/>
      <c r="P36" s="29"/>
    </row>
    <row r="37" spans="1:16" x14ac:dyDescent="0.2">
      <c r="A37" s="29"/>
      <c r="B37" s="31"/>
      <c r="C37" s="31"/>
      <c r="D37" s="29"/>
      <c r="E37" s="31"/>
      <c r="F37" s="29"/>
      <c r="G37" s="31"/>
      <c r="H37" s="29"/>
      <c r="I37" s="159"/>
      <c r="J37" s="160"/>
      <c r="K37" s="29"/>
      <c r="L37" s="29"/>
      <c r="M37" s="29"/>
      <c r="N37" s="29"/>
      <c r="O37" s="29"/>
      <c r="P37" s="29"/>
    </row>
    <row r="38" spans="1:16" x14ac:dyDescent="0.2">
      <c r="A38" s="29"/>
      <c r="B38" s="31"/>
      <c r="C38" s="31"/>
      <c r="D38" s="29"/>
      <c r="E38" s="31"/>
      <c r="F38" s="29"/>
      <c r="G38" s="31"/>
      <c r="H38" s="29"/>
      <c r="I38" s="159"/>
      <c r="J38" s="160"/>
      <c r="K38" s="29"/>
      <c r="L38" s="29"/>
      <c r="M38" s="29"/>
      <c r="N38" s="29"/>
      <c r="O38" s="29"/>
      <c r="P38" s="29"/>
    </row>
    <row r="39" spans="1:16" x14ac:dyDescent="0.2">
      <c r="A39" s="29"/>
      <c r="B39" s="31"/>
      <c r="C39" s="31"/>
      <c r="D39" s="29"/>
      <c r="E39" s="31"/>
      <c r="F39" s="29"/>
      <c r="G39" s="31"/>
      <c r="H39" s="29"/>
      <c r="I39" s="159"/>
      <c r="J39" s="160"/>
      <c r="K39" s="29"/>
      <c r="L39" s="29"/>
      <c r="M39" s="29"/>
      <c r="N39" s="29"/>
      <c r="O39" s="29"/>
      <c r="P39" s="29"/>
    </row>
    <row r="40" spans="1:16" x14ac:dyDescent="0.2">
      <c r="A40" s="29"/>
      <c r="B40" s="31"/>
      <c r="C40" s="31"/>
      <c r="D40" s="29"/>
      <c r="E40" s="31"/>
      <c r="F40" s="29"/>
      <c r="G40" s="31"/>
      <c r="H40" s="29"/>
      <c r="I40" s="40"/>
      <c r="J40" s="41"/>
      <c r="K40" s="29"/>
      <c r="L40" s="29"/>
      <c r="M40" s="29"/>
      <c r="N40" s="29"/>
      <c r="O40" s="29"/>
      <c r="P40" s="29"/>
    </row>
    <row r="41" spans="1:16" x14ac:dyDescent="0.2">
      <c r="A41" s="29"/>
      <c r="B41" s="31"/>
      <c r="C41" s="31"/>
      <c r="D41" s="29"/>
      <c r="E41" s="31"/>
      <c r="F41" s="29"/>
      <c r="G41" s="31"/>
      <c r="H41" s="29"/>
      <c r="I41" s="40"/>
      <c r="J41" s="150"/>
      <c r="K41" s="29"/>
      <c r="L41" s="29"/>
      <c r="M41" s="29"/>
      <c r="N41" s="29"/>
      <c r="O41" s="29"/>
      <c r="P41" s="29"/>
    </row>
    <row r="42" spans="1:16" x14ac:dyDescent="0.2">
      <c r="A42" s="29"/>
      <c r="B42" s="31"/>
      <c r="C42" s="31"/>
      <c r="D42" s="29"/>
      <c r="E42" s="31"/>
      <c r="F42" s="29"/>
      <c r="G42" s="31"/>
      <c r="H42" s="29"/>
      <c r="I42" s="40"/>
      <c r="J42" s="150"/>
      <c r="K42" s="150"/>
      <c r="L42" s="29"/>
      <c r="M42" s="29"/>
      <c r="N42" s="29"/>
      <c r="O42" s="29"/>
      <c r="P42" s="29"/>
    </row>
    <row r="43" spans="1:16" x14ac:dyDescent="0.2">
      <c r="A43" s="29"/>
      <c r="B43" s="31"/>
      <c r="C43" s="31"/>
      <c r="D43" s="29"/>
      <c r="E43" s="31"/>
      <c r="F43" s="29"/>
      <c r="G43" s="31"/>
      <c r="H43" s="29"/>
      <c r="I43" s="40"/>
      <c r="J43" s="150"/>
      <c r="K43" s="150"/>
      <c r="L43" s="29"/>
      <c r="M43" s="29"/>
      <c r="N43" s="29"/>
      <c r="O43" s="29"/>
      <c r="P43" s="29"/>
    </row>
    <row r="44" spans="1:16" x14ac:dyDescent="0.2">
      <c r="I44" s="120"/>
    </row>
    <row r="45" spans="1:16" x14ac:dyDescent="0.2">
      <c r="I45" s="120"/>
    </row>
    <row r="46" spans="1:16" x14ac:dyDescent="0.2">
      <c r="I46" s="120"/>
    </row>
    <row r="47" spans="1:16" x14ac:dyDescent="0.2">
      <c r="I47" s="120"/>
    </row>
  </sheetData>
  <mergeCells count="1">
    <mergeCell ref="I11:J11"/>
  </mergeCells>
  <phoneticPr fontId="0" type="noConversion"/>
  <dataValidations xWindow="651" yWindow="290" count="2">
    <dataValidation type="list" allowBlank="1" showInputMessage="1" showErrorMessage="1" promptTitle="Select Runner" prompt="from list" sqref="J10">
      <formula1>$D$10:$D$27</formula1>
    </dataValidation>
    <dataValidation type="list" allowBlank="1" showInputMessage="1" showErrorMessage="1" promptTitle="Select Runner" prompt="from list" sqref="J11">
      <formula1>$D$13:$D$29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CH84"/>
  <sheetViews>
    <sheetView zoomScale="75" workbookViewId="0">
      <pane xSplit="7" topLeftCell="H1" activePane="topRight" state="frozen"/>
      <selection pane="topRight" activeCell="S18" sqref="S18"/>
    </sheetView>
  </sheetViews>
  <sheetFormatPr defaultRowHeight="12.75" x14ac:dyDescent="0.2"/>
  <cols>
    <col min="1" max="1" width="29.7109375" style="54" bestFit="1" customWidth="1"/>
    <col min="2" max="2" width="9.7109375" style="55" customWidth="1"/>
    <col min="3" max="3" width="4.7109375" style="56" customWidth="1"/>
    <col min="4" max="4" width="1.7109375" style="57" customWidth="1"/>
    <col min="5" max="5" width="9.7109375" style="55" customWidth="1"/>
    <col min="6" max="6" width="4.7109375" style="55" customWidth="1"/>
    <col min="7" max="7" width="1.7109375" style="57" customWidth="1"/>
    <col min="8" max="8" width="15.7109375" style="57" customWidth="1"/>
    <col min="9" max="9" width="6.42578125" style="60" bestFit="1" customWidth="1"/>
    <col min="10" max="10" width="5.7109375" style="57" customWidth="1"/>
    <col min="11" max="11" width="5.7109375" style="59" customWidth="1"/>
    <col min="12" max="12" width="1.7109375" style="57" customWidth="1"/>
    <col min="13" max="13" width="15.7109375" style="57" customWidth="1"/>
    <col min="14" max="14" width="6.42578125" style="60" bestFit="1" customWidth="1"/>
    <col min="15" max="15" width="5.7109375" style="57" customWidth="1"/>
    <col min="16" max="16" width="5.7109375" style="59" customWidth="1"/>
    <col min="17" max="17" width="1.7109375" style="57" customWidth="1"/>
    <col min="18" max="18" width="15.7109375" style="57" customWidth="1"/>
    <col min="19" max="19" width="6.42578125" style="60" bestFit="1" customWidth="1"/>
    <col min="20" max="20" width="5.7109375" style="57" customWidth="1"/>
    <col min="21" max="21" width="5.7109375" style="59" customWidth="1"/>
    <col min="22" max="22" width="1.7109375" style="57" customWidth="1"/>
    <col min="23" max="23" width="15.7109375" style="57" customWidth="1"/>
    <col min="24" max="24" width="6.42578125" style="60" bestFit="1" customWidth="1"/>
    <col min="25" max="25" width="5.7109375" style="57" customWidth="1"/>
    <col min="26" max="26" width="5.7109375" style="59" customWidth="1"/>
    <col min="27" max="27" width="1.7109375" style="57" customWidth="1"/>
    <col min="28" max="28" width="15.7109375" style="57" customWidth="1"/>
    <col min="29" max="29" width="6.42578125" style="60" bestFit="1" customWidth="1"/>
    <col min="30" max="30" width="5.7109375" style="57" customWidth="1"/>
    <col min="31" max="31" width="5.7109375" style="59" customWidth="1"/>
    <col min="32" max="32" width="1.7109375" style="57" customWidth="1"/>
    <col min="33" max="33" width="15.7109375" style="57" customWidth="1"/>
    <col min="34" max="34" width="6.42578125" style="60" bestFit="1" customWidth="1"/>
    <col min="35" max="35" width="5.7109375" style="57" customWidth="1"/>
    <col min="36" max="36" width="5.7109375" style="59" customWidth="1"/>
    <col min="37" max="37" width="1.7109375" style="57" customWidth="1"/>
    <col min="38" max="38" width="15.7109375" style="57" customWidth="1"/>
    <col min="39" max="39" width="6.42578125" style="60" bestFit="1" customWidth="1"/>
    <col min="40" max="40" width="5.7109375" style="57" customWidth="1"/>
    <col min="41" max="41" width="5.7109375" style="59" customWidth="1"/>
    <col min="42" max="42" width="1.7109375" style="57" customWidth="1"/>
    <col min="43" max="43" width="15.7109375" style="57" customWidth="1"/>
    <col min="44" max="44" width="6.42578125" style="60" customWidth="1"/>
    <col min="45" max="45" width="5.7109375" style="57" customWidth="1"/>
    <col min="46" max="46" width="5.7109375" style="59" customWidth="1"/>
    <col min="47" max="47" width="1.7109375" style="57" customWidth="1"/>
    <col min="48" max="48" width="15.7109375" style="57" customWidth="1"/>
    <col min="49" max="49" width="5.7109375" style="60" customWidth="1"/>
    <col min="50" max="50" width="5.7109375" style="57" customWidth="1"/>
    <col min="51" max="51" width="5.7109375" style="59" customWidth="1"/>
    <col min="52" max="52" width="1.7109375" style="57" customWidth="1"/>
    <col min="53" max="53" width="16.7109375" style="57" customWidth="1"/>
    <col min="54" max="54" width="6.7109375" style="60" customWidth="1"/>
    <col min="55" max="55" width="6.7109375" style="57" customWidth="1"/>
    <col min="56" max="56" width="6.7109375" style="59" customWidth="1"/>
    <col min="57" max="57" width="1.7109375" style="57" customWidth="1"/>
    <col min="58" max="58" width="16.7109375" style="57" customWidth="1"/>
    <col min="59" max="59" width="6.7109375" style="60" customWidth="1"/>
    <col min="60" max="60" width="6.7109375" style="57" customWidth="1"/>
    <col min="61" max="61" width="6.7109375" style="59" customWidth="1"/>
    <col min="62" max="62" width="1.7109375" style="57" customWidth="1"/>
    <col min="63" max="63" width="16.7109375" style="57" customWidth="1"/>
    <col min="64" max="64" width="6.7109375" style="60" customWidth="1"/>
    <col min="65" max="65" width="6.7109375" style="57" customWidth="1"/>
    <col min="66" max="66" width="6.7109375" style="59" customWidth="1"/>
    <col min="67" max="67" width="1.7109375" style="57" customWidth="1"/>
    <col min="68" max="68" width="16.7109375" style="57" customWidth="1"/>
    <col min="69" max="69" width="6.7109375" style="60" customWidth="1"/>
    <col min="70" max="70" width="6.7109375" style="57" customWidth="1"/>
    <col min="71" max="71" width="6.7109375" style="59" customWidth="1"/>
    <col min="72" max="72" width="1.7109375" style="57" customWidth="1"/>
    <col min="73" max="73" width="16.7109375" style="57" customWidth="1"/>
    <col min="74" max="74" width="6.7109375" style="60" customWidth="1"/>
    <col min="75" max="75" width="6.7109375" style="57" customWidth="1"/>
    <col min="76" max="76" width="6.7109375" style="59" customWidth="1"/>
    <col min="77" max="77" width="1.7109375" style="57" customWidth="1"/>
    <col min="78" max="78" width="16.7109375" style="57" customWidth="1"/>
    <col min="79" max="79" width="6.7109375" style="60" customWidth="1"/>
    <col min="80" max="80" width="6.7109375" style="57" customWidth="1"/>
    <col min="81" max="81" width="6.7109375" style="59" customWidth="1"/>
    <col min="82" max="82" width="1.7109375" style="57" customWidth="1"/>
    <col min="83" max="83" width="16.7109375" style="57" customWidth="1"/>
    <col min="84" max="84" width="6.7109375" style="60" customWidth="1"/>
    <col min="85" max="85" width="6.7109375" style="57" customWidth="1"/>
    <col min="86" max="86" width="6.7109375" style="59" customWidth="1"/>
    <col min="87" max="87" width="1.7109375" style="57" customWidth="1"/>
    <col min="88" max="16384" width="9.140625" style="57"/>
  </cols>
  <sheetData>
    <row r="2" spans="1:86" s="76" customFormat="1" ht="20.100000000000001" customHeight="1" x14ac:dyDescent="0.2">
      <c r="A2" s="75"/>
      <c r="B2" s="42"/>
      <c r="C2" s="43"/>
      <c r="E2" s="42"/>
      <c r="F2" s="42"/>
      <c r="H2" s="62" t="s">
        <v>5</v>
      </c>
      <c r="I2" s="67">
        <v>3.39</v>
      </c>
      <c r="J2" s="68" t="s">
        <v>9</v>
      </c>
      <c r="K2" s="83" t="s">
        <v>11</v>
      </c>
      <c r="M2" s="62" t="s">
        <v>12</v>
      </c>
      <c r="N2" s="67">
        <f>Dist1</f>
        <v>3.39</v>
      </c>
      <c r="O2" s="68" t="s">
        <v>9</v>
      </c>
      <c r="P2" s="83" t="s">
        <v>11</v>
      </c>
      <c r="R2" s="62" t="s">
        <v>13</v>
      </c>
      <c r="S2" s="67">
        <f>Dist1</f>
        <v>3.39</v>
      </c>
      <c r="T2" s="68" t="s">
        <v>9</v>
      </c>
      <c r="U2" s="83" t="s">
        <v>11</v>
      </c>
      <c r="W2" s="62" t="s">
        <v>14</v>
      </c>
      <c r="X2" s="67">
        <f>Dist1</f>
        <v>3.39</v>
      </c>
      <c r="Y2" s="68" t="s">
        <v>9</v>
      </c>
      <c r="Z2" s="83" t="s">
        <v>11</v>
      </c>
      <c r="AB2" s="62" t="s">
        <v>15</v>
      </c>
      <c r="AC2" s="67">
        <v>4</v>
      </c>
      <c r="AD2" s="68" t="s">
        <v>9</v>
      </c>
      <c r="AE2" s="83" t="s">
        <v>11</v>
      </c>
      <c r="AG2" s="62" t="s">
        <v>16</v>
      </c>
      <c r="AH2" s="67">
        <v>4.2699999999999996</v>
      </c>
      <c r="AI2" s="68" t="s">
        <v>9</v>
      </c>
      <c r="AJ2" s="83" t="s">
        <v>11</v>
      </c>
      <c r="AL2" s="62" t="s">
        <v>17</v>
      </c>
      <c r="AM2" s="67">
        <v>3.2</v>
      </c>
      <c r="AN2" s="68" t="s">
        <v>9</v>
      </c>
      <c r="AO2" s="83" t="s">
        <v>11</v>
      </c>
      <c r="AQ2" s="62" t="s">
        <v>18</v>
      </c>
      <c r="AR2" s="67">
        <v>5</v>
      </c>
      <c r="AS2" s="68" t="s">
        <v>9</v>
      </c>
      <c r="AT2" s="83" t="s">
        <v>11</v>
      </c>
      <c r="AV2" s="42"/>
      <c r="AW2" s="45"/>
      <c r="AX2" s="46"/>
      <c r="AY2" s="47"/>
      <c r="BB2" s="77"/>
      <c r="BD2" s="78"/>
      <c r="BG2" s="77"/>
      <c r="BI2" s="78"/>
      <c r="BL2" s="77"/>
      <c r="BN2" s="78"/>
      <c r="BQ2" s="77"/>
      <c r="BS2" s="78"/>
      <c r="BV2" s="77"/>
      <c r="BX2" s="78"/>
      <c r="CA2" s="77"/>
      <c r="CC2" s="78"/>
      <c r="CF2" s="77"/>
      <c r="CH2" s="78"/>
    </row>
    <row r="3" spans="1:86" s="76" customFormat="1" ht="20.100000000000001" customHeight="1" x14ac:dyDescent="0.2">
      <c r="A3" s="61" t="s">
        <v>0</v>
      </c>
      <c r="B3" s="62" t="s">
        <v>19</v>
      </c>
      <c r="C3" s="63" t="s">
        <v>10</v>
      </c>
      <c r="E3" s="62" t="s">
        <v>20</v>
      </c>
      <c r="F3" s="63" t="s">
        <v>10</v>
      </c>
      <c r="H3" s="69" t="s">
        <v>6</v>
      </c>
      <c r="I3" s="70" t="s">
        <v>7</v>
      </c>
      <c r="J3" s="84" t="s">
        <v>8</v>
      </c>
      <c r="K3" s="85" t="s">
        <v>10</v>
      </c>
      <c r="M3" s="69" t="s">
        <v>6</v>
      </c>
      <c r="N3" s="70" t="s">
        <v>7</v>
      </c>
      <c r="O3" s="84" t="s">
        <v>8</v>
      </c>
      <c r="P3" s="85" t="s">
        <v>10</v>
      </c>
      <c r="R3" s="69" t="s">
        <v>6</v>
      </c>
      <c r="S3" s="70" t="s">
        <v>7</v>
      </c>
      <c r="T3" s="84" t="s">
        <v>8</v>
      </c>
      <c r="U3" s="85" t="s">
        <v>10</v>
      </c>
      <c r="W3" s="69" t="s">
        <v>6</v>
      </c>
      <c r="X3" s="70" t="s">
        <v>7</v>
      </c>
      <c r="Y3" s="84" t="s">
        <v>8</v>
      </c>
      <c r="Z3" s="85" t="s">
        <v>10</v>
      </c>
      <c r="AB3" s="69" t="s">
        <v>6</v>
      </c>
      <c r="AC3" s="70" t="s">
        <v>7</v>
      </c>
      <c r="AD3" s="84" t="s">
        <v>8</v>
      </c>
      <c r="AE3" s="85" t="s">
        <v>10</v>
      </c>
      <c r="AG3" s="69" t="s">
        <v>6</v>
      </c>
      <c r="AH3" s="70" t="s">
        <v>7</v>
      </c>
      <c r="AI3" s="84" t="s">
        <v>8</v>
      </c>
      <c r="AJ3" s="85" t="s">
        <v>10</v>
      </c>
      <c r="AL3" s="69" t="s">
        <v>6</v>
      </c>
      <c r="AM3" s="70" t="s">
        <v>7</v>
      </c>
      <c r="AN3" s="84" t="s">
        <v>8</v>
      </c>
      <c r="AO3" s="85" t="s">
        <v>10</v>
      </c>
      <c r="AQ3" s="69" t="s">
        <v>6</v>
      </c>
      <c r="AR3" s="70" t="s">
        <v>7</v>
      </c>
      <c r="AS3" s="84" t="s">
        <v>8</v>
      </c>
      <c r="AT3" s="85" t="s">
        <v>10</v>
      </c>
      <c r="AV3" s="48"/>
      <c r="AW3" s="49"/>
      <c r="AX3" s="47"/>
      <c r="AY3" s="47"/>
      <c r="BB3" s="77"/>
      <c r="BD3" s="78"/>
      <c r="BG3" s="77"/>
      <c r="BI3" s="78"/>
      <c r="BL3" s="77"/>
      <c r="BN3" s="78"/>
      <c r="BQ3" s="77"/>
      <c r="BS3" s="78"/>
      <c r="BV3" s="77"/>
      <c r="BX3" s="78"/>
      <c r="CA3" s="77"/>
      <c r="CC3" s="78"/>
      <c r="CF3" s="77"/>
      <c r="CH3" s="78"/>
    </row>
    <row r="4" spans="1:86" s="44" customFormat="1" ht="20.100000000000001" customHeight="1" x14ac:dyDescent="0.2">
      <c r="A4" s="64" t="str">
        <f>'Team Selection'!B3</f>
        <v>Purple Rain</v>
      </c>
      <c r="B4" s="65">
        <f t="shared" ref="B4:B9" si="0">SUM(E4,E13)</f>
        <v>0.18289351851851848</v>
      </c>
      <c r="C4" s="66">
        <f t="shared" ref="C4:C9" si="1">RANK(B4,B$4:B$9,2)</f>
        <v>5</v>
      </c>
      <c r="E4" s="65">
        <f t="shared" ref="E4:E9" si="2">SUM(I4,N4,S4,X4,AC4,AH4,AM4,AR4)</f>
        <v>8.3252314814814807E-2</v>
      </c>
      <c r="F4" s="66">
        <f t="shared" ref="F4:F9" si="3">RANK(E4,E$4:E$9,2)</f>
        <v>5</v>
      </c>
      <c r="H4" s="168" t="s">
        <v>65</v>
      </c>
      <c r="I4" s="72">
        <v>9.2361111111111116E-3</v>
      </c>
      <c r="J4" s="25">
        <f t="shared" ref="J4:J9" si="4">I4/Dist1</f>
        <v>2.7245165519501802E-3</v>
      </c>
      <c r="K4" s="26">
        <f t="shared" ref="K4:K9" si="5">IF(I4&gt;0,RANK(I4,$H$52:$H$75,1),)</f>
        <v>12</v>
      </c>
      <c r="M4" s="168" t="s">
        <v>64</v>
      </c>
      <c r="N4" s="72">
        <v>9.5601851851851855E-3</v>
      </c>
      <c r="O4" s="25">
        <f t="shared" ref="O4:O9" si="6">N4/Dist1</f>
        <v>2.8201136239484324E-3</v>
      </c>
      <c r="P4" s="26">
        <f t="shared" ref="P4:P9" si="7">IF(N4&gt;0,RANK(N4,$H$52:$H$75,1),)</f>
        <v>17</v>
      </c>
      <c r="R4" s="168" t="s">
        <v>73</v>
      </c>
      <c r="S4" s="72">
        <v>1.0902777777777777E-2</v>
      </c>
      <c r="T4" s="25">
        <f t="shared" ref="T4:T9" si="8">S4/Dist2</f>
        <v>3.2161586365126184E-3</v>
      </c>
      <c r="U4" s="26">
        <f t="shared" ref="U4:U9" si="9">IF(S4&gt;0,RANK(S4,$H$52:$H$75,1),)</f>
        <v>23</v>
      </c>
      <c r="W4" s="168" t="s">
        <v>52</v>
      </c>
      <c r="X4" s="72">
        <v>8.4953703703703701E-3</v>
      </c>
      <c r="Y4" s="25">
        <f t="shared" ref="Y4:Y9" si="10">X4/Dist3</f>
        <v>2.5060089588113186E-3</v>
      </c>
      <c r="Z4" s="26">
        <f t="shared" ref="Z4:Z9" si="11">IF(X4&gt;0,RANK(X4,$H$52:$H$75,1),)</f>
        <v>2</v>
      </c>
      <c r="AB4" s="71" t="s">
        <v>65</v>
      </c>
      <c r="AC4" s="72">
        <v>1.2210648148148146E-2</v>
      </c>
      <c r="AD4" s="25">
        <f t="shared" ref="AD4:AD9" si="12">AC4/Dist4</f>
        <v>3.0526620370370365E-3</v>
      </c>
      <c r="AE4" s="26">
        <f t="shared" ref="AE4:AE9" si="13">IF(AC4&gt;0,RANK(AC4,AC$4:AC$9,1),)</f>
        <v>3</v>
      </c>
      <c r="AG4" s="71" t="s">
        <v>64</v>
      </c>
      <c r="AH4" s="72">
        <v>1.1203703703703704E-2</v>
      </c>
      <c r="AI4" s="25">
        <f t="shared" ref="AI4:AI9" si="14">AH4/Dist5</f>
        <v>2.6238181975886898E-3</v>
      </c>
      <c r="AJ4" s="26">
        <f t="shared" ref="AJ4:AJ9" si="15">IF(AH4&gt;0,RANK(AH4,AH$4:AH$9,1),)</f>
        <v>5</v>
      </c>
      <c r="AL4" s="71" t="s">
        <v>73</v>
      </c>
      <c r="AM4" s="72">
        <v>8.3680555555555557E-3</v>
      </c>
      <c r="AN4" s="25">
        <f t="shared" ref="AN4:AN9" si="16">AM4/Dist6</f>
        <v>2.6150173611111109E-3</v>
      </c>
      <c r="AO4" s="26">
        <f t="shared" ref="AO4:AO9" si="17">IF(AM4&gt;0,RANK(AM4,AM$4:AM$9,1),)</f>
        <v>6</v>
      </c>
      <c r="AQ4" s="71" t="s">
        <v>52</v>
      </c>
      <c r="AR4" s="72">
        <v>1.3275462962962963E-2</v>
      </c>
      <c r="AS4" s="25">
        <f t="shared" ref="AS4:AS9" si="18">AR4/Dist7</f>
        <v>2.6550925925925926E-3</v>
      </c>
      <c r="AT4" s="26">
        <f t="shared" ref="AT4:AT9" si="19">IF(AR4&gt;0,RANK(AR4,AR$4:AR$9,1),)</f>
        <v>1</v>
      </c>
      <c r="AV4" s="50"/>
      <c r="AW4" s="51"/>
      <c r="AX4" s="52"/>
      <c r="AY4" s="53"/>
    </row>
    <row r="5" spans="1:86" s="44" customFormat="1" ht="20.100000000000001" customHeight="1" x14ac:dyDescent="0.2">
      <c r="A5" s="64" t="str">
        <f>'Team Selection'!B4</f>
        <v>Stodds GPS Studs</v>
      </c>
      <c r="B5" s="65">
        <f t="shared" si="0"/>
        <v>0.18085648148148148</v>
      </c>
      <c r="C5" s="66">
        <f t="shared" si="1"/>
        <v>2</v>
      </c>
      <c r="E5" s="65">
        <f t="shared" si="2"/>
        <v>8.2812500000000011E-2</v>
      </c>
      <c r="F5" s="66">
        <f t="shared" si="3"/>
        <v>4</v>
      </c>
      <c r="H5" s="168" t="s">
        <v>48</v>
      </c>
      <c r="I5" s="72">
        <v>9.2592592592592605E-3</v>
      </c>
      <c r="J5" s="25">
        <f t="shared" si="4"/>
        <v>2.7313449142357701E-3</v>
      </c>
      <c r="K5" s="26">
        <f t="shared" si="5"/>
        <v>13</v>
      </c>
      <c r="M5" s="168" t="s">
        <v>68</v>
      </c>
      <c r="N5" s="72">
        <v>9.2013888888888892E-3</v>
      </c>
      <c r="O5" s="25">
        <f t="shared" si="6"/>
        <v>2.7142740085217961E-3</v>
      </c>
      <c r="P5" s="26">
        <f t="shared" si="7"/>
        <v>11</v>
      </c>
      <c r="R5" s="168" t="s">
        <v>74</v>
      </c>
      <c r="S5" s="72">
        <v>1.0254629629629629E-2</v>
      </c>
      <c r="T5" s="25">
        <f t="shared" si="8"/>
        <v>3.0249644925161145E-3</v>
      </c>
      <c r="U5" s="26">
        <f t="shared" si="9"/>
        <v>21</v>
      </c>
      <c r="W5" s="168" t="s">
        <v>57</v>
      </c>
      <c r="X5" s="72">
        <v>8.8773148148148153E-3</v>
      </c>
      <c r="Y5" s="25">
        <f t="shared" si="10"/>
        <v>2.6186769365235444E-3</v>
      </c>
      <c r="Z5" s="26">
        <f t="shared" si="11"/>
        <v>4</v>
      </c>
      <c r="AB5" s="71" t="s">
        <v>48</v>
      </c>
      <c r="AC5" s="72">
        <v>1.2326388888888888E-2</v>
      </c>
      <c r="AD5" s="25">
        <f t="shared" si="12"/>
        <v>3.0815972222222221E-3</v>
      </c>
      <c r="AE5" s="26">
        <f t="shared" si="13"/>
        <v>4</v>
      </c>
      <c r="AG5" s="71" t="s">
        <v>68</v>
      </c>
      <c r="AH5" s="72">
        <v>1.0601851851851854E-2</v>
      </c>
      <c r="AI5" s="25">
        <f t="shared" si="14"/>
        <v>2.4828692861479755E-3</v>
      </c>
      <c r="AJ5" s="26">
        <f t="shared" si="15"/>
        <v>2</v>
      </c>
      <c r="AL5" s="71" t="s">
        <v>74</v>
      </c>
      <c r="AM5" s="72">
        <v>8.3564814814814804E-3</v>
      </c>
      <c r="AN5" s="25">
        <f t="shared" si="16"/>
        <v>2.6114004629629625E-3</v>
      </c>
      <c r="AO5" s="26">
        <f t="shared" si="17"/>
        <v>5</v>
      </c>
      <c r="AQ5" s="71" t="s">
        <v>57</v>
      </c>
      <c r="AR5" s="72">
        <v>1.3935185185185184E-2</v>
      </c>
      <c r="AS5" s="25">
        <f t="shared" si="18"/>
        <v>2.7870370370370367E-3</v>
      </c>
      <c r="AT5" s="26">
        <f t="shared" si="19"/>
        <v>3</v>
      </c>
      <c r="AV5" s="50"/>
      <c r="AW5" s="51"/>
      <c r="AX5" s="52"/>
      <c r="AY5" s="53"/>
    </row>
    <row r="6" spans="1:86" s="44" customFormat="1" ht="20.100000000000001" customHeight="1" x14ac:dyDescent="0.2">
      <c r="A6" s="64" t="str">
        <f>'Team Selection'!B5</f>
        <v>Suzy's Stars</v>
      </c>
      <c r="B6" s="65">
        <f t="shared" si="0"/>
        <v>0.18237268518518518</v>
      </c>
      <c r="C6" s="66">
        <f t="shared" si="1"/>
        <v>4</v>
      </c>
      <c r="E6" s="65">
        <f t="shared" si="2"/>
        <v>8.2673611111111114E-2</v>
      </c>
      <c r="F6" s="66">
        <f t="shared" si="3"/>
        <v>3</v>
      </c>
      <c r="H6" s="168" t="s">
        <v>67</v>
      </c>
      <c r="I6" s="72">
        <v>9.386574074074075E-3</v>
      </c>
      <c r="J6" s="25">
        <f t="shared" si="4"/>
        <v>2.7689009068065117E-3</v>
      </c>
      <c r="K6" s="26">
        <f t="shared" si="5"/>
        <v>15</v>
      </c>
      <c r="M6" s="168" t="s">
        <v>53</v>
      </c>
      <c r="N6" s="72">
        <v>9.1666666666666667E-3</v>
      </c>
      <c r="O6" s="25">
        <f t="shared" si="6"/>
        <v>2.7040314650934121E-3</v>
      </c>
      <c r="P6" s="26">
        <f t="shared" si="7"/>
        <v>8</v>
      </c>
      <c r="R6" s="168" t="s">
        <v>72</v>
      </c>
      <c r="S6" s="72">
        <v>1.0706018518518517E-2</v>
      </c>
      <c r="T6" s="25">
        <f t="shared" si="8"/>
        <v>3.1581175570851083E-3</v>
      </c>
      <c r="U6" s="26">
        <f t="shared" si="9"/>
        <v>22</v>
      </c>
      <c r="W6" s="168" t="s">
        <v>54</v>
      </c>
      <c r="X6" s="72">
        <v>8.4143518518518517E-3</v>
      </c>
      <c r="Y6" s="25">
        <f t="shared" si="10"/>
        <v>2.4821096908117556E-3</v>
      </c>
      <c r="Z6" s="26">
        <f t="shared" si="11"/>
        <v>1</v>
      </c>
      <c r="AB6" s="71" t="s">
        <v>67</v>
      </c>
      <c r="AC6" s="72">
        <v>1.2569444444444446E-2</v>
      </c>
      <c r="AD6" s="25">
        <f t="shared" si="12"/>
        <v>3.1423611111111114E-3</v>
      </c>
      <c r="AE6" s="26">
        <f t="shared" si="13"/>
        <v>5</v>
      </c>
      <c r="AG6" s="71" t="s">
        <v>53</v>
      </c>
      <c r="AH6" s="72">
        <v>1.0937500000000001E-2</v>
      </c>
      <c r="AI6" s="25">
        <f t="shared" si="14"/>
        <v>2.5614754098360662E-3</v>
      </c>
      <c r="AJ6" s="26">
        <f t="shared" si="15"/>
        <v>3</v>
      </c>
      <c r="AL6" s="71" t="s">
        <v>72</v>
      </c>
      <c r="AM6" s="72">
        <v>8.1712962962962963E-3</v>
      </c>
      <c r="AN6" s="25">
        <f t="shared" si="16"/>
        <v>2.5535300925925925E-3</v>
      </c>
      <c r="AO6" s="26">
        <f t="shared" si="17"/>
        <v>4</v>
      </c>
      <c r="AQ6" s="71" t="s">
        <v>54</v>
      </c>
      <c r="AR6" s="72">
        <v>1.3321759259259261E-2</v>
      </c>
      <c r="AS6" s="25">
        <f t="shared" si="18"/>
        <v>2.6643518518518522E-3</v>
      </c>
      <c r="AT6" s="26">
        <f t="shared" si="19"/>
        <v>2</v>
      </c>
      <c r="AV6" s="50"/>
      <c r="AW6" s="51"/>
      <c r="AX6" s="52"/>
      <c r="AY6" s="53"/>
    </row>
    <row r="7" spans="1:86" s="44" customFormat="1" ht="20.100000000000001" customHeight="1" x14ac:dyDescent="0.2">
      <c r="A7" s="64" t="str">
        <f>'Team Selection'!B6</f>
        <v>Mithos Marauders</v>
      </c>
      <c r="B7" s="65">
        <f t="shared" si="0"/>
        <v>0.17679398148148148</v>
      </c>
      <c r="C7" s="66">
        <f t="shared" si="1"/>
        <v>1</v>
      </c>
      <c r="E7" s="65">
        <f t="shared" si="2"/>
        <v>8.1979166666666659E-2</v>
      </c>
      <c r="F7" s="66">
        <f t="shared" si="3"/>
        <v>1</v>
      </c>
      <c r="H7" s="168" t="s">
        <v>66</v>
      </c>
      <c r="I7" s="72">
        <v>8.9467592592592585E-3</v>
      </c>
      <c r="J7" s="25">
        <f t="shared" si="4"/>
        <v>2.639162023380312E-3</v>
      </c>
      <c r="K7" s="26">
        <f t="shared" si="5"/>
        <v>6</v>
      </c>
      <c r="M7" s="168" t="s">
        <v>69</v>
      </c>
      <c r="N7" s="72">
        <v>9.6643518518518511E-3</v>
      </c>
      <c r="O7" s="25">
        <f t="shared" si="6"/>
        <v>2.8508412542335841E-3</v>
      </c>
      <c r="P7" s="26">
        <f t="shared" si="7"/>
        <v>18</v>
      </c>
      <c r="R7" s="168" t="s">
        <v>71</v>
      </c>
      <c r="S7" s="72">
        <v>9.7337962962962977E-3</v>
      </c>
      <c r="T7" s="25">
        <f t="shared" si="8"/>
        <v>2.871326341090353E-3</v>
      </c>
      <c r="U7" s="26">
        <f t="shared" si="9"/>
        <v>19</v>
      </c>
      <c r="W7" s="168" t="s">
        <v>56</v>
      </c>
      <c r="X7" s="72">
        <v>8.9236111111111113E-3</v>
      </c>
      <c r="Y7" s="25">
        <f t="shared" si="10"/>
        <v>2.632333661094723E-3</v>
      </c>
      <c r="Z7" s="26">
        <f t="shared" si="11"/>
        <v>5</v>
      </c>
      <c r="AB7" s="71" t="s">
        <v>66</v>
      </c>
      <c r="AC7" s="72">
        <v>1.1493055555555555E-2</v>
      </c>
      <c r="AD7" s="25">
        <f t="shared" si="12"/>
        <v>2.8732638888888887E-3</v>
      </c>
      <c r="AE7" s="26">
        <f t="shared" si="13"/>
        <v>1</v>
      </c>
      <c r="AG7" s="71" t="s">
        <v>69</v>
      </c>
      <c r="AH7" s="72">
        <v>1.1446759259259261E-2</v>
      </c>
      <c r="AI7" s="25">
        <f t="shared" si="14"/>
        <v>2.6807398733628249E-3</v>
      </c>
      <c r="AJ7" s="26">
        <f t="shared" si="15"/>
        <v>6</v>
      </c>
      <c r="AL7" s="71" t="s">
        <v>71</v>
      </c>
      <c r="AM7" s="72">
        <v>7.4305555555555548E-3</v>
      </c>
      <c r="AN7" s="25">
        <f t="shared" si="16"/>
        <v>2.3220486111111107E-3</v>
      </c>
      <c r="AO7" s="26">
        <f t="shared" si="17"/>
        <v>1</v>
      </c>
      <c r="AQ7" s="71" t="s">
        <v>56</v>
      </c>
      <c r="AR7" s="72">
        <v>1.4340277777777776E-2</v>
      </c>
      <c r="AS7" s="25">
        <f t="shared" si="18"/>
        <v>2.8680555555555551E-3</v>
      </c>
      <c r="AT7" s="26">
        <f t="shared" si="19"/>
        <v>5</v>
      </c>
      <c r="AV7" s="50"/>
      <c r="AW7" s="51"/>
      <c r="AX7" s="52"/>
      <c r="AY7" s="53"/>
    </row>
    <row r="8" spans="1:86" s="44" customFormat="1" ht="20.100000000000001" customHeight="1" x14ac:dyDescent="0.2">
      <c r="A8" s="64" t="str">
        <f>'Team Selection'!B7</f>
        <v>The Lost Blues</v>
      </c>
      <c r="B8" s="65">
        <f t="shared" si="0"/>
        <v>0.18100694444444443</v>
      </c>
      <c r="C8" s="66">
        <f t="shared" si="1"/>
        <v>3</v>
      </c>
      <c r="E8" s="65">
        <f t="shared" si="2"/>
        <v>8.2256944444444438E-2</v>
      </c>
      <c r="F8" s="66">
        <f t="shared" si="3"/>
        <v>2</v>
      </c>
      <c r="H8" s="168" t="s">
        <v>55</v>
      </c>
      <c r="I8" s="72">
        <v>9.1782407407407403E-3</v>
      </c>
      <c r="J8" s="25">
        <f t="shared" si="4"/>
        <v>2.7074456462362066E-3</v>
      </c>
      <c r="K8" s="26">
        <f t="shared" si="5"/>
        <v>9</v>
      </c>
      <c r="M8" s="168" t="s">
        <v>60</v>
      </c>
      <c r="N8" s="72">
        <v>9.5370370370370366E-3</v>
      </c>
      <c r="O8" s="25">
        <f t="shared" si="6"/>
        <v>2.8132852616628424E-3</v>
      </c>
      <c r="P8" s="26">
        <f t="shared" si="7"/>
        <v>16</v>
      </c>
      <c r="R8" s="168" t="s">
        <v>58</v>
      </c>
      <c r="S8" s="72">
        <v>9.7569444444444448E-3</v>
      </c>
      <c r="T8" s="25">
        <f t="shared" si="8"/>
        <v>2.8781547033759425E-3</v>
      </c>
      <c r="U8" s="26">
        <f t="shared" si="9"/>
        <v>20</v>
      </c>
      <c r="W8" s="168" t="s">
        <v>61</v>
      </c>
      <c r="X8" s="72">
        <v>8.773148148148148E-3</v>
      </c>
      <c r="Y8" s="25">
        <f t="shared" si="10"/>
        <v>2.5879493062383918E-3</v>
      </c>
      <c r="Z8" s="26">
        <f t="shared" si="11"/>
        <v>3</v>
      </c>
      <c r="AB8" s="71" t="s">
        <v>55</v>
      </c>
      <c r="AC8" s="72">
        <v>1.2152777777777778E-2</v>
      </c>
      <c r="AD8" s="25">
        <f t="shared" si="12"/>
        <v>3.0381944444444445E-3</v>
      </c>
      <c r="AE8" s="26">
        <f t="shared" si="13"/>
        <v>2</v>
      </c>
      <c r="AG8" s="71" t="s">
        <v>58</v>
      </c>
      <c r="AH8" s="72">
        <v>1.1087962962962964E-2</v>
      </c>
      <c r="AI8" s="25">
        <f t="shared" si="14"/>
        <v>2.5967126376962449E-3</v>
      </c>
      <c r="AJ8" s="26">
        <f t="shared" si="15"/>
        <v>4</v>
      </c>
      <c r="AL8" s="71" t="s">
        <v>60</v>
      </c>
      <c r="AM8" s="72">
        <v>7.5694444444444446E-3</v>
      </c>
      <c r="AN8" s="25">
        <f t="shared" si="16"/>
        <v>2.3654513888888887E-3</v>
      </c>
      <c r="AO8" s="26">
        <f t="shared" si="17"/>
        <v>3</v>
      </c>
      <c r="AQ8" s="71" t="s">
        <v>61</v>
      </c>
      <c r="AR8" s="72">
        <v>1.4201388888888888E-2</v>
      </c>
      <c r="AS8" s="25">
        <f t="shared" si="18"/>
        <v>2.8402777777777775E-3</v>
      </c>
      <c r="AT8" s="26">
        <f t="shared" si="19"/>
        <v>4</v>
      </c>
      <c r="AV8" s="50"/>
      <c r="AW8" s="51"/>
      <c r="AX8" s="52"/>
      <c r="AY8" s="53"/>
    </row>
    <row r="9" spans="1:86" s="44" customFormat="1" ht="20.100000000000001" customHeight="1" x14ac:dyDescent="0.2">
      <c r="A9" s="64" t="str">
        <f>'Team Selection'!B8</f>
        <v>Green with Envy</v>
      </c>
      <c r="B9" s="65">
        <f t="shared" si="0"/>
        <v>0.1837152777777778</v>
      </c>
      <c r="C9" s="66">
        <f t="shared" si="1"/>
        <v>6</v>
      </c>
      <c r="E9" s="65">
        <f t="shared" si="2"/>
        <v>8.3981481481481476E-2</v>
      </c>
      <c r="F9" s="66">
        <f t="shared" si="3"/>
        <v>6</v>
      </c>
      <c r="H9" s="168" t="s">
        <v>70</v>
      </c>
      <c r="I9" s="72">
        <v>1.1145833333333334E-2</v>
      </c>
      <c r="J9" s="25">
        <f t="shared" si="4"/>
        <v>3.287856440511308E-3</v>
      </c>
      <c r="K9" s="26">
        <f t="shared" si="5"/>
        <v>24</v>
      </c>
      <c r="M9" s="168" t="s">
        <v>63</v>
      </c>
      <c r="N9" s="72">
        <v>9.1782407407407403E-3</v>
      </c>
      <c r="O9" s="25">
        <f t="shared" si="6"/>
        <v>2.7074456462362066E-3</v>
      </c>
      <c r="P9" s="26">
        <f t="shared" si="7"/>
        <v>9</v>
      </c>
      <c r="R9" s="168" t="s">
        <v>59</v>
      </c>
      <c r="S9" s="72">
        <v>9.2939814814814812E-3</v>
      </c>
      <c r="T9" s="25">
        <f t="shared" si="8"/>
        <v>2.7415874576641537E-3</v>
      </c>
      <c r="U9" s="26">
        <f t="shared" si="9"/>
        <v>14</v>
      </c>
      <c r="W9" s="168" t="s">
        <v>62</v>
      </c>
      <c r="X9" s="72">
        <v>8.9583333333333338E-3</v>
      </c>
      <c r="Y9" s="25">
        <f t="shared" si="10"/>
        <v>2.642576204523107E-3</v>
      </c>
      <c r="Z9" s="26">
        <f t="shared" si="11"/>
        <v>7</v>
      </c>
      <c r="AB9" s="71" t="s">
        <v>70</v>
      </c>
      <c r="AC9" s="72">
        <v>1.3229166666666667E-2</v>
      </c>
      <c r="AD9" s="25">
        <f t="shared" si="12"/>
        <v>3.3072916666666667E-3</v>
      </c>
      <c r="AE9" s="26">
        <f t="shared" si="13"/>
        <v>6</v>
      </c>
      <c r="AG9" s="71" t="s">
        <v>63</v>
      </c>
      <c r="AH9" s="72">
        <v>1.0219907407407408E-2</v>
      </c>
      <c r="AI9" s="25">
        <f t="shared" si="14"/>
        <v>2.3934209385029063E-3</v>
      </c>
      <c r="AJ9" s="26">
        <f t="shared" si="15"/>
        <v>1</v>
      </c>
      <c r="AL9" s="71" t="s">
        <v>59</v>
      </c>
      <c r="AM9" s="72">
        <v>7.5115740740740742E-3</v>
      </c>
      <c r="AN9" s="25">
        <f t="shared" si="16"/>
        <v>2.3473668981481479E-3</v>
      </c>
      <c r="AO9" s="26">
        <f t="shared" si="17"/>
        <v>2</v>
      </c>
      <c r="AQ9" s="71" t="s">
        <v>62</v>
      </c>
      <c r="AR9" s="72">
        <v>1.4444444444444446E-2</v>
      </c>
      <c r="AS9" s="25">
        <f t="shared" si="18"/>
        <v>2.8888888888888892E-3</v>
      </c>
      <c r="AT9" s="26">
        <f t="shared" si="19"/>
        <v>6</v>
      </c>
      <c r="AV9" s="50"/>
      <c r="AW9" s="51"/>
      <c r="AX9" s="52"/>
      <c r="AY9" s="53"/>
    </row>
    <row r="10" spans="1:86" ht="20.100000000000001" customHeight="1" x14ac:dyDescent="0.2">
      <c r="I10" s="58"/>
      <c r="J10" s="59"/>
      <c r="N10" s="58"/>
      <c r="O10" s="59"/>
      <c r="S10" s="58"/>
      <c r="T10" s="59"/>
      <c r="X10" s="58"/>
      <c r="Y10" s="59"/>
      <c r="AC10" s="58"/>
      <c r="AD10" s="59"/>
      <c r="AH10" s="58"/>
      <c r="AI10" s="59"/>
      <c r="AM10" s="58"/>
      <c r="AN10" s="59"/>
      <c r="AR10" s="58"/>
      <c r="AS10" s="59"/>
      <c r="AW10" s="58"/>
      <c r="AX10" s="59"/>
      <c r="BB10" s="58"/>
      <c r="BC10" s="59"/>
      <c r="BG10" s="58"/>
      <c r="BH10" s="59"/>
      <c r="BL10" s="58"/>
      <c r="BM10" s="59"/>
      <c r="BQ10" s="58"/>
      <c r="BR10" s="59"/>
      <c r="BV10" s="58"/>
      <c r="BW10" s="59"/>
      <c r="CA10" s="58"/>
      <c r="CB10" s="59"/>
      <c r="CF10" s="58"/>
      <c r="CG10" s="59"/>
    </row>
    <row r="11" spans="1:86" s="76" customFormat="1" ht="20.100000000000001" customHeight="1" x14ac:dyDescent="0.2">
      <c r="A11" s="79"/>
      <c r="B11" s="80"/>
      <c r="C11" s="81"/>
      <c r="E11" s="80"/>
      <c r="F11" s="80"/>
      <c r="H11" s="62" t="s">
        <v>21</v>
      </c>
      <c r="I11" s="67">
        <v>3.66</v>
      </c>
      <c r="J11" s="68" t="s">
        <v>9</v>
      </c>
      <c r="K11" s="83" t="s">
        <v>11</v>
      </c>
      <c r="M11" s="62" t="s">
        <v>22</v>
      </c>
      <c r="N11" s="67">
        <v>3.7</v>
      </c>
      <c r="O11" s="68" t="s">
        <v>9</v>
      </c>
      <c r="P11" s="83" t="s">
        <v>11</v>
      </c>
      <c r="R11" s="62" t="s">
        <v>23</v>
      </c>
      <c r="S11" s="67">
        <v>5.3</v>
      </c>
      <c r="T11" s="68" t="s">
        <v>9</v>
      </c>
      <c r="U11" s="83" t="s">
        <v>11</v>
      </c>
      <c r="W11" s="62" t="s">
        <v>24</v>
      </c>
      <c r="X11" s="67">
        <v>4.5</v>
      </c>
      <c r="Y11" s="68" t="s">
        <v>9</v>
      </c>
      <c r="Z11" s="83" t="s">
        <v>11</v>
      </c>
      <c r="AB11" s="62" t="s">
        <v>25</v>
      </c>
      <c r="AC11" s="67">
        <v>4.5</v>
      </c>
      <c r="AD11" s="68" t="s">
        <v>9</v>
      </c>
      <c r="AE11" s="83" t="s">
        <v>11</v>
      </c>
      <c r="AG11" s="62" t="s">
        <v>26</v>
      </c>
      <c r="AH11" s="67">
        <v>4.21</v>
      </c>
      <c r="AI11" s="68" t="s">
        <v>9</v>
      </c>
      <c r="AJ11" s="83" t="s">
        <v>11</v>
      </c>
      <c r="AL11" s="62" t="s">
        <v>49</v>
      </c>
      <c r="AM11" s="67">
        <v>4.49</v>
      </c>
      <c r="AN11" s="68" t="s">
        <v>9</v>
      </c>
      <c r="AO11" s="83" t="s">
        <v>11</v>
      </c>
      <c r="AQ11" s="62" t="s">
        <v>50</v>
      </c>
      <c r="AR11" s="67">
        <v>3.66</v>
      </c>
      <c r="AS11" s="68" t="s">
        <v>9</v>
      </c>
      <c r="AT11" s="83" t="s">
        <v>11</v>
      </c>
      <c r="AV11" s="42"/>
      <c r="AW11" s="45"/>
      <c r="AX11" s="46"/>
      <c r="AY11" s="47"/>
      <c r="BB11" s="82"/>
      <c r="BC11" s="78"/>
      <c r="BD11" s="78"/>
      <c r="BG11" s="82"/>
      <c r="BH11" s="78"/>
      <c r="BI11" s="78"/>
      <c r="BL11" s="82"/>
      <c r="BM11" s="78"/>
      <c r="BN11" s="78"/>
      <c r="BQ11" s="82"/>
      <c r="BR11" s="78"/>
      <c r="BS11" s="78"/>
      <c r="BV11" s="82"/>
      <c r="BW11" s="78"/>
      <c r="BX11" s="78"/>
      <c r="CA11" s="82"/>
      <c r="CB11" s="78"/>
      <c r="CC11" s="78"/>
      <c r="CF11" s="82"/>
      <c r="CG11" s="78"/>
      <c r="CH11" s="78"/>
    </row>
    <row r="12" spans="1:86" s="76" customFormat="1" ht="20.100000000000001" customHeight="1" x14ac:dyDescent="0.2">
      <c r="A12" s="73" t="s">
        <v>0</v>
      </c>
      <c r="B12" s="80"/>
      <c r="C12" s="81"/>
      <c r="E12" s="62" t="s">
        <v>27</v>
      </c>
      <c r="F12" s="63" t="s">
        <v>10</v>
      </c>
      <c r="H12" s="69" t="s">
        <v>6</v>
      </c>
      <c r="I12" s="70" t="s">
        <v>7</v>
      </c>
      <c r="J12" s="84" t="s">
        <v>8</v>
      </c>
      <c r="K12" s="85" t="s">
        <v>10</v>
      </c>
      <c r="M12" s="69" t="s">
        <v>6</v>
      </c>
      <c r="N12" s="70" t="s">
        <v>7</v>
      </c>
      <c r="O12" s="84" t="s">
        <v>8</v>
      </c>
      <c r="P12" s="85" t="s">
        <v>10</v>
      </c>
      <c r="R12" s="69" t="s">
        <v>6</v>
      </c>
      <c r="S12" s="70" t="s">
        <v>7</v>
      </c>
      <c r="T12" s="84" t="s">
        <v>8</v>
      </c>
      <c r="U12" s="85" t="s">
        <v>10</v>
      </c>
      <c r="W12" s="69" t="s">
        <v>6</v>
      </c>
      <c r="X12" s="70" t="s">
        <v>7</v>
      </c>
      <c r="Y12" s="84" t="s">
        <v>8</v>
      </c>
      <c r="Z12" s="85" t="s">
        <v>10</v>
      </c>
      <c r="AB12" s="69" t="s">
        <v>6</v>
      </c>
      <c r="AC12" s="70" t="s">
        <v>7</v>
      </c>
      <c r="AD12" s="84" t="s">
        <v>8</v>
      </c>
      <c r="AE12" s="85" t="s">
        <v>10</v>
      </c>
      <c r="AG12" s="69" t="s">
        <v>6</v>
      </c>
      <c r="AH12" s="70" t="s">
        <v>7</v>
      </c>
      <c r="AI12" s="84" t="s">
        <v>8</v>
      </c>
      <c r="AJ12" s="85" t="s">
        <v>10</v>
      </c>
      <c r="AL12" s="69" t="s">
        <v>6</v>
      </c>
      <c r="AM12" s="70" t="s">
        <v>7</v>
      </c>
      <c r="AN12" s="84" t="s">
        <v>8</v>
      </c>
      <c r="AO12" s="85" t="s">
        <v>10</v>
      </c>
      <c r="AQ12" s="69" t="s">
        <v>6</v>
      </c>
      <c r="AR12" s="70" t="s">
        <v>7</v>
      </c>
      <c r="AS12" s="84" t="s">
        <v>8</v>
      </c>
      <c r="AT12" s="85" t="s">
        <v>10</v>
      </c>
      <c r="AV12" s="48"/>
      <c r="AW12" s="49"/>
      <c r="AX12" s="47"/>
      <c r="AY12" s="47"/>
      <c r="BB12" s="82"/>
      <c r="BC12" s="78"/>
      <c r="BD12" s="78"/>
      <c r="BG12" s="82"/>
      <c r="BH12" s="78"/>
      <c r="BI12" s="78"/>
      <c r="BL12" s="82"/>
      <c r="BM12" s="78"/>
      <c r="BN12" s="78"/>
      <c r="BQ12" s="82"/>
      <c r="BR12" s="78"/>
      <c r="BS12" s="78"/>
      <c r="BV12" s="82"/>
      <c r="BW12" s="78"/>
      <c r="BX12" s="78"/>
      <c r="CA12" s="82"/>
      <c r="CB12" s="78"/>
      <c r="CC12" s="78"/>
      <c r="CF12" s="82"/>
      <c r="CG12" s="78"/>
      <c r="CH12" s="78"/>
    </row>
    <row r="13" spans="1:86" ht="20.100000000000001" customHeight="1" x14ac:dyDescent="0.2">
      <c r="A13" s="74" t="str">
        <f t="shared" ref="A13:A18" si="20">A4</f>
        <v>Purple Rain</v>
      </c>
      <c r="E13" s="65">
        <f t="shared" ref="E13:E18" si="21">SUM(I13,N13,S13,X13,AC13,AH13,AM13,AR13)</f>
        <v>9.964120370370369E-2</v>
      </c>
      <c r="F13" s="66">
        <f t="shared" ref="F13:F18" si="22">RANK(E13,E$13:E$18,2)</f>
        <v>4</v>
      </c>
      <c r="H13" s="71" t="s">
        <v>64</v>
      </c>
      <c r="I13" s="72">
        <v>1.1331018518518518E-2</v>
      </c>
      <c r="J13" s="25">
        <f t="shared" ref="J13:J18" si="23">I13/Dist8</f>
        <v>3.0959066990487753E-3</v>
      </c>
      <c r="K13" s="26">
        <f t="shared" ref="K13:K18" si="24">IF(I13&gt;0,RANK(I13,I$13:I$18,1),)</f>
        <v>5</v>
      </c>
      <c r="L13" s="44"/>
      <c r="M13" s="71" t="s">
        <v>73</v>
      </c>
      <c r="N13" s="72">
        <v>1.2858796296296297E-2</v>
      </c>
      <c r="O13" s="25">
        <f t="shared" ref="O13:O18" si="25">N13/N$11</f>
        <v>3.4753503503503502E-3</v>
      </c>
      <c r="P13" s="26">
        <f t="shared" ref="P13:P18" si="26">IF(N13&gt;0,RANK(N13,N$13:N$18,1),)</f>
        <v>6</v>
      </c>
      <c r="Q13" s="44"/>
      <c r="R13" s="71" t="s">
        <v>52</v>
      </c>
      <c r="S13" s="72">
        <v>1.3564814814814816E-2</v>
      </c>
      <c r="T13" s="25">
        <f t="shared" ref="T13:T18" si="27">S13/Dist9</f>
        <v>2.559399021663173E-3</v>
      </c>
      <c r="U13" s="26">
        <f t="shared" ref="U13:U18" si="28">IF(S13&gt;0,RANK(S13,S$13:S$18,1),)</f>
        <v>1</v>
      </c>
      <c r="V13" s="44"/>
      <c r="W13" s="71" t="s">
        <v>65</v>
      </c>
      <c r="X13" s="72">
        <v>1.2893518518518519E-2</v>
      </c>
      <c r="Y13" s="25">
        <f t="shared" ref="Y13:Y18" si="29">X13/Dist10</f>
        <v>2.8652263374485598E-3</v>
      </c>
      <c r="Z13" s="26">
        <f t="shared" ref="Z13:Z18" si="30">IF(X13&gt;0,RANK(X13,X$13:X$18,1),)</f>
        <v>5</v>
      </c>
      <c r="AA13" s="44"/>
      <c r="AB13" s="71" t="s">
        <v>52</v>
      </c>
      <c r="AC13" s="72">
        <v>1.2048611111111112E-2</v>
      </c>
      <c r="AD13" s="25">
        <f t="shared" ref="AD13:AD18" si="31">AC13/Dist11</f>
        <v>2.6774691358024696E-3</v>
      </c>
      <c r="AE13" s="26">
        <f t="shared" ref="AE13:AE18" si="32">IF(AC13&gt;0,RANK(AC13,AC$13:AC$18,1),)</f>
        <v>2</v>
      </c>
      <c r="AF13" s="44"/>
      <c r="AG13" s="71" t="s">
        <v>64</v>
      </c>
      <c r="AH13" s="72">
        <v>1.1597222222222222E-2</v>
      </c>
      <c r="AI13" s="25">
        <f t="shared" ref="AI13:AI18" si="33">AH13/Dist12</f>
        <v>2.754684613354447E-3</v>
      </c>
      <c r="AJ13" s="26">
        <f t="shared" ref="AJ13:AJ18" si="34">IF(AH13&gt;0,RANK(AH13,AH$13:AH$18,1),)</f>
        <v>2</v>
      </c>
      <c r="AK13" s="44"/>
      <c r="AL13" s="71" t="s">
        <v>65</v>
      </c>
      <c r="AM13" s="72">
        <v>1.1377314814814814E-2</v>
      </c>
      <c r="AN13" s="25">
        <f t="shared" ref="AN13:AN18" si="35">AM13/Dist13</f>
        <v>2.533923121339602E-3</v>
      </c>
      <c r="AO13" s="26">
        <f t="shared" ref="AO13:AO18" si="36">IF(AM13&gt;0,RANK(AM13,AM$13:AM$18,1),)</f>
        <v>5</v>
      </c>
      <c r="AP13" s="44"/>
      <c r="AQ13" s="71" t="s">
        <v>73</v>
      </c>
      <c r="AR13" s="72">
        <v>1.3969907407407408E-2</v>
      </c>
      <c r="AS13" s="25">
        <f t="shared" ref="AS13:AS18" si="37">AR13/Dist14</f>
        <v>3.8169145921878164E-3</v>
      </c>
      <c r="AT13" s="26">
        <f t="shared" ref="AT13:AT18" si="38">IF(AR13&gt;0,RANK(AR13,AR$13:AR$18,1),)</f>
        <v>6</v>
      </c>
      <c r="AU13" s="44"/>
      <c r="AV13" s="50"/>
      <c r="AW13" s="51"/>
      <c r="AX13" s="52"/>
      <c r="AY13" s="53"/>
      <c r="AZ13" s="44"/>
      <c r="BB13" s="58"/>
      <c r="BC13" s="59"/>
      <c r="BG13" s="58"/>
      <c r="BH13" s="59"/>
      <c r="BL13" s="58"/>
      <c r="BM13" s="59"/>
      <c r="BQ13" s="58"/>
      <c r="BR13" s="59"/>
      <c r="BV13" s="58"/>
      <c r="BW13" s="59"/>
      <c r="CA13" s="58"/>
      <c r="CB13" s="59"/>
      <c r="CF13" s="58"/>
      <c r="CG13" s="59"/>
    </row>
    <row r="14" spans="1:86" ht="20.100000000000001" customHeight="1" x14ac:dyDescent="0.2">
      <c r="A14" s="74" t="str">
        <f t="shared" si="20"/>
        <v>Stodds GPS Studs</v>
      </c>
      <c r="E14" s="65">
        <f t="shared" si="21"/>
        <v>9.8043981481481482E-2</v>
      </c>
      <c r="F14" s="66">
        <f t="shared" si="22"/>
        <v>2</v>
      </c>
      <c r="H14" s="71" t="s">
        <v>68</v>
      </c>
      <c r="I14" s="72">
        <v>1.0555555555555554E-2</v>
      </c>
      <c r="J14" s="25">
        <f t="shared" si="23"/>
        <v>2.8840315725561622E-3</v>
      </c>
      <c r="K14" s="26">
        <f t="shared" si="24"/>
        <v>2</v>
      </c>
      <c r="L14" s="44"/>
      <c r="M14" s="71" t="s">
        <v>74</v>
      </c>
      <c r="N14" s="72">
        <v>1.2002314814814815E-2</v>
      </c>
      <c r="O14" s="25">
        <f t="shared" si="25"/>
        <v>3.2438688688688688E-3</v>
      </c>
      <c r="P14" s="26">
        <f t="shared" si="26"/>
        <v>4</v>
      </c>
      <c r="Q14" s="44"/>
      <c r="R14" s="71" t="s">
        <v>57</v>
      </c>
      <c r="S14" s="72">
        <v>1.7210648148148149E-2</v>
      </c>
      <c r="T14" s="25">
        <f t="shared" si="27"/>
        <v>3.2472921034241791E-3</v>
      </c>
      <c r="U14" s="26">
        <f t="shared" si="28"/>
        <v>5</v>
      </c>
      <c r="V14" s="44"/>
      <c r="W14" s="71" t="s">
        <v>48</v>
      </c>
      <c r="X14" s="72">
        <v>1.230324074074074E-2</v>
      </c>
      <c r="Y14" s="25">
        <f t="shared" si="29"/>
        <v>2.7340534979423867E-3</v>
      </c>
      <c r="Z14" s="26">
        <f t="shared" si="30"/>
        <v>3</v>
      </c>
      <c r="AA14" s="44"/>
      <c r="AB14" s="71" t="s">
        <v>68</v>
      </c>
      <c r="AC14" s="72">
        <v>1.2777777777777777E-2</v>
      </c>
      <c r="AD14" s="25">
        <f t="shared" si="31"/>
        <v>2.839506172839506E-3</v>
      </c>
      <c r="AE14" s="26">
        <f t="shared" si="32"/>
        <v>3</v>
      </c>
      <c r="AF14" s="44"/>
      <c r="AG14" s="71" t="s">
        <v>48</v>
      </c>
      <c r="AH14" s="72">
        <v>1.1064814814814814E-2</v>
      </c>
      <c r="AI14" s="25">
        <f t="shared" si="33"/>
        <v>2.6282220462743025E-3</v>
      </c>
      <c r="AJ14" s="26">
        <f t="shared" si="34"/>
        <v>1</v>
      </c>
      <c r="AK14" s="44"/>
      <c r="AL14" s="71" t="s">
        <v>57</v>
      </c>
      <c r="AM14" s="72">
        <v>1.1215277777777777E-2</v>
      </c>
      <c r="AN14" s="25">
        <f t="shared" si="35"/>
        <v>2.4978346943825783E-3</v>
      </c>
      <c r="AO14" s="26">
        <f t="shared" si="36"/>
        <v>2</v>
      </c>
      <c r="AP14" s="44"/>
      <c r="AQ14" s="71" t="s">
        <v>74</v>
      </c>
      <c r="AR14" s="72">
        <v>1.091435185185185E-2</v>
      </c>
      <c r="AS14" s="25">
        <f t="shared" si="37"/>
        <v>2.9820633475005054E-3</v>
      </c>
      <c r="AT14" s="26">
        <f t="shared" si="38"/>
        <v>3</v>
      </c>
      <c r="AU14" s="44"/>
      <c r="AV14" s="50"/>
      <c r="AW14" s="51"/>
      <c r="AX14" s="52"/>
      <c r="AY14" s="53"/>
      <c r="AZ14" s="44"/>
      <c r="BB14" s="58"/>
      <c r="BC14" s="59"/>
      <c r="BG14" s="58"/>
      <c r="BH14" s="59"/>
      <c r="BL14" s="58"/>
      <c r="BM14" s="59"/>
      <c r="BQ14" s="58"/>
      <c r="BR14" s="59"/>
      <c r="BV14" s="58"/>
      <c r="BW14" s="59"/>
      <c r="CA14" s="58"/>
      <c r="CB14" s="59"/>
      <c r="CF14" s="58"/>
      <c r="CG14" s="59"/>
    </row>
    <row r="15" spans="1:86" ht="20.100000000000001" customHeight="1" x14ac:dyDescent="0.2">
      <c r="A15" s="74" t="str">
        <f t="shared" si="20"/>
        <v>Suzy's Stars</v>
      </c>
      <c r="E15" s="65">
        <f t="shared" si="21"/>
        <v>9.9699074074074079E-2</v>
      </c>
      <c r="F15" s="66">
        <f t="shared" si="22"/>
        <v>5</v>
      </c>
      <c r="H15" s="71" t="s">
        <v>67</v>
      </c>
      <c r="I15" s="72">
        <v>1.113425925925926E-2</v>
      </c>
      <c r="J15" s="25">
        <f t="shared" si="23"/>
        <v>3.0421473385954263E-3</v>
      </c>
      <c r="K15" s="26">
        <f t="shared" si="24"/>
        <v>4</v>
      </c>
      <c r="L15" s="44"/>
      <c r="M15" s="71" t="s">
        <v>72</v>
      </c>
      <c r="N15" s="72">
        <v>1.2592592592592593E-2</v>
      </c>
      <c r="O15" s="25">
        <f t="shared" si="25"/>
        <v>3.4034034034034033E-3</v>
      </c>
      <c r="P15" s="26">
        <f t="shared" si="26"/>
        <v>5</v>
      </c>
      <c r="Q15" s="44"/>
      <c r="R15" s="71" t="s">
        <v>54</v>
      </c>
      <c r="S15" s="72">
        <v>1.383101851851852E-2</v>
      </c>
      <c r="T15" s="25">
        <f t="shared" si="27"/>
        <v>2.609626135569532E-3</v>
      </c>
      <c r="U15" s="26">
        <f t="shared" si="28"/>
        <v>2</v>
      </c>
      <c r="V15" s="44"/>
      <c r="W15" s="71" t="s">
        <v>53</v>
      </c>
      <c r="X15" s="72">
        <v>1.3784722222222224E-2</v>
      </c>
      <c r="Y15" s="25">
        <f t="shared" si="29"/>
        <v>3.063271604938272E-3</v>
      </c>
      <c r="Z15" s="26">
        <f t="shared" si="30"/>
        <v>6</v>
      </c>
      <c r="AA15" s="44"/>
      <c r="AB15" s="71" t="s">
        <v>54</v>
      </c>
      <c r="AC15" s="72">
        <v>1.1944444444444445E-2</v>
      </c>
      <c r="AD15" s="25">
        <f t="shared" si="31"/>
        <v>2.6543209876543211E-3</v>
      </c>
      <c r="AE15" s="26">
        <f t="shared" si="32"/>
        <v>1</v>
      </c>
      <c r="AF15" s="44"/>
      <c r="AG15" s="71" t="s">
        <v>67</v>
      </c>
      <c r="AH15" s="72">
        <v>1.1597222222222222E-2</v>
      </c>
      <c r="AI15" s="25">
        <f t="shared" si="33"/>
        <v>2.754684613354447E-3</v>
      </c>
      <c r="AJ15" s="26">
        <f t="shared" si="34"/>
        <v>2</v>
      </c>
      <c r="AK15" s="44"/>
      <c r="AL15" s="71" t="s">
        <v>53</v>
      </c>
      <c r="AM15" s="72">
        <v>1.1249999999999998E-2</v>
      </c>
      <c r="AN15" s="25">
        <f t="shared" si="35"/>
        <v>2.5055679287305115E-3</v>
      </c>
      <c r="AO15" s="26">
        <f t="shared" si="36"/>
        <v>3</v>
      </c>
      <c r="AP15" s="44"/>
      <c r="AQ15" s="71" t="s">
        <v>72</v>
      </c>
      <c r="AR15" s="72">
        <v>1.3564814814814816E-2</v>
      </c>
      <c r="AS15" s="25">
        <f t="shared" si="37"/>
        <v>3.7062335559603322E-3</v>
      </c>
      <c r="AT15" s="26">
        <f t="shared" si="38"/>
        <v>5</v>
      </c>
      <c r="AU15" s="44"/>
      <c r="AV15" s="50"/>
      <c r="AW15" s="51"/>
      <c r="AX15" s="52"/>
      <c r="AY15" s="53"/>
      <c r="AZ15" s="44"/>
      <c r="BB15" s="58"/>
      <c r="BC15" s="59"/>
      <c r="BG15" s="58"/>
      <c r="BH15" s="59"/>
      <c r="BL15" s="58"/>
      <c r="BM15" s="59"/>
      <c r="BQ15" s="58"/>
      <c r="BR15" s="59"/>
      <c r="BV15" s="58"/>
      <c r="BW15" s="59"/>
      <c r="CA15" s="58"/>
      <c r="CB15" s="59"/>
      <c r="CF15" s="58"/>
      <c r="CG15" s="59"/>
    </row>
    <row r="16" spans="1:86" ht="20.100000000000001" customHeight="1" x14ac:dyDescent="0.2">
      <c r="A16" s="74" t="str">
        <f t="shared" si="20"/>
        <v>Mithos Marauders</v>
      </c>
      <c r="E16" s="65">
        <f t="shared" si="21"/>
        <v>9.4814814814814824E-2</v>
      </c>
      <c r="F16" s="66">
        <f t="shared" si="22"/>
        <v>1</v>
      </c>
      <c r="H16" s="71" t="s">
        <v>56</v>
      </c>
      <c r="I16" s="72">
        <v>1.0393518518518519E-2</v>
      </c>
      <c r="J16" s="25">
        <f t="shared" si="23"/>
        <v>2.8397591580651689E-3</v>
      </c>
      <c r="K16" s="26">
        <f t="shared" si="24"/>
        <v>1</v>
      </c>
      <c r="L16" s="44"/>
      <c r="M16" s="71" t="s">
        <v>69</v>
      </c>
      <c r="N16" s="72">
        <v>1.1111111111111112E-2</v>
      </c>
      <c r="O16" s="25">
        <f t="shared" si="25"/>
        <v>3.003003003003003E-3</v>
      </c>
      <c r="P16" s="26">
        <f t="shared" si="26"/>
        <v>1</v>
      </c>
      <c r="Q16" s="44"/>
      <c r="R16" s="71" t="s">
        <v>66</v>
      </c>
      <c r="S16" s="72">
        <v>1.4351851851851852E-2</v>
      </c>
      <c r="T16" s="25">
        <f t="shared" si="27"/>
        <v>2.7078965758211043E-3</v>
      </c>
      <c r="U16" s="26">
        <f t="shared" si="28"/>
        <v>3</v>
      </c>
      <c r="V16" s="44"/>
      <c r="W16" s="71" t="s">
        <v>56</v>
      </c>
      <c r="X16" s="72">
        <v>1.1851851851851851E-2</v>
      </c>
      <c r="Y16" s="25">
        <f t="shared" si="29"/>
        <v>2.633744855967078E-3</v>
      </c>
      <c r="Z16" s="26">
        <f t="shared" si="30"/>
        <v>2</v>
      </c>
      <c r="AA16" s="44"/>
      <c r="AB16" s="71" t="s">
        <v>69</v>
      </c>
      <c r="AC16" s="72">
        <v>1.3171296296296294E-2</v>
      </c>
      <c r="AD16" s="25">
        <f t="shared" si="31"/>
        <v>2.9269547325102875E-3</v>
      </c>
      <c r="AE16" s="26">
        <f t="shared" si="32"/>
        <v>5</v>
      </c>
      <c r="AF16" s="44"/>
      <c r="AG16" s="71" t="s">
        <v>71</v>
      </c>
      <c r="AH16" s="72">
        <v>1.1898148148148149E-2</v>
      </c>
      <c r="AI16" s="25">
        <f t="shared" si="33"/>
        <v>2.8261634556171374E-3</v>
      </c>
      <c r="AJ16" s="26">
        <f t="shared" si="34"/>
        <v>5</v>
      </c>
      <c r="AK16" s="44"/>
      <c r="AL16" s="71" t="s">
        <v>66</v>
      </c>
      <c r="AM16" s="72">
        <v>1.1342592592592592E-2</v>
      </c>
      <c r="AN16" s="25">
        <f t="shared" si="35"/>
        <v>2.5261898869916683E-3</v>
      </c>
      <c r="AO16" s="26">
        <f t="shared" si="36"/>
        <v>4</v>
      </c>
      <c r="AP16" s="44"/>
      <c r="AQ16" s="71" t="s">
        <v>71</v>
      </c>
      <c r="AR16" s="72">
        <v>1.0694444444444444E-2</v>
      </c>
      <c r="AS16" s="25">
        <f t="shared" si="37"/>
        <v>2.9219793564055855E-3</v>
      </c>
      <c r="AT16" s="26">
        <f t="shared" si="38"/>
        <v>2</v>
      </c>
      <c r="AU16" s="44"/>
      <c r="AV16" s="50"/>
      <c r="AW16" s="51"/>
      <c r="AX16" s="52"/>
      <c r="AY16" s="53"/>
      <c r="AZ16" s="44"/>
      <c r="BB16" s="58"/>
      <c r="BC16" s="59"/>
      <c r="BG16" s="58"/>
      <c r="BH16" s="59"/>
      <c r="BL16" s="58"/>
      <c r="BM16" s="59"/>
      <c r="BQ16" s="58"/>
      <c r="BR16" s="59"/>
      <c r="BV16" s="58"/>
      <c r="BW16" s="59"/>
      <c r="CA16" s="58"/>
      <c r="CB16" s="59"/>
      <c r="CF16" s="58"/>
      <c r="CG16" s="59"/>
    </row>
    <row r="17" spans="1:85" ht="20.100000000000001" customHeight="1" x14ac:dyDescent="0.2">
      <c r="A17" s="74" t="str">
        <f t="shared" si="20"/>
        <v>The Lost Blues</v>
      </c>
      <c r="E17" s="65">
        <f t="shared" si="21"/>
        <v>9.8750000000000004E-2</v>
      </c>
      <c r="F17" s="66">
        <f t="shared" si="22"/>
        <v>3</v>
      </c>
      <c r="H17" s="71" t="s">
        <v>55</v>
      </c>
      <c r="I17" s="72">
        <v>1.064814814814815E-2</v>
      </c>
      <c r="J17" s="25">
        <f t="shared" si="23"/>
        <v>2.909330095122445E-3</v>
      </c>
      <c r="K17" s="26">
        <f t="shared" si="24"/>
        <v>3</v>
      </c>
      <c r="L17" s="44"/>
      <c r="M17" s="71" t="s">
        <v>58</v>
      </c>
      <c r="N17" s="72">
        <v>1.113425925925926E-2</v>
      </c>
      <c r="O17" s="25">
        <f t="shared" si="25"/>
        <v>3.0092592592592593E-3</v>
      </c>
      <c r="P17" s="26">
        <f t="shared" si="26"/>
        <v>2</v>
      </c>
      <c r="Q17" s="44"/>
      <c r="R17" s="71" t="s">
        <v>61</v>
      </c>
      <c r="S17" s="72">
        <v>1.7210648148148149E-2</v>
      </c>
      <c r="T17" s="25">
        <f t="shared" si="27"/>
        <v>3.2472921034241791E-3</v>
      </c>
      <c r="U17" s="26">
        <f t="shared" si="28"/>
        <v>5</v>
      </c>
      <c r="V17" s="44"/>
      <c r="W17" s="71" t="s">
        <v>60</v>
      </c>
      <c r="X17" s="72">
        <v>1.2731481481481481E-2</v>
      </c>
      <c r="Y17" s="25">
        <f t="shared" si="29"/>
        <v>2.8292181069958845E-3</v>
      </c>
      <c r="Z17" s="26">
        <f t="shared" si="30"/>
        <v>4</v>
      </c>
      <c r="AA17" s="44"/>
      <c r="AB17" s="71" t="s">
        <v>55</v>
      </c>
      <c r="AC17" s="72">
        <v>1.292824074074074E-2</v>
      </c>
      <c r="AD17" s="25">
        <f t="shared" si="31"/>
        <v>2.8729423868312756E-3</v>
      </c>
      <c r="AE17" s="26">
        <f t="shared" si="32"/>
        <v>4</v>
      </c>
      <c r="AF17" s="44"/>
      <c r="AG17" s="71" t="s">
        <v>58</v>
      </c>
      <c r="AH17" s="72">
        <v>1.1863425925925925E-2</v>
      </c>
      <c r="AI17" s="25">
        <f t="shared" si="33"/>
        <v>2.817915896894519E-3</v>
      </c>
      <c r="AJ17" s="26">
        <f t="shared" si="34"/>
        <v>4</v>
      </c>
      <c r="AK17" s="44"/>
      <c r="AL17" s="71" t="s">
        <v>61</v>
      </c>
      <c r="AM17" s="72">
        <v>1.1631944444444445E-2</v>
      </c>
      <c r="AN17" s="25">
        <f t="shared" si="35"/>
        <v>2.5906335065577829E-3</v>
      </c>
      <c r="AO17" s="26">
        <f t="shared" si="36"/>
        <v>6</v>
      </c>
      <c r="AP17" s="44"/>
      <c r="AQ17" s="71" t="s">
        <v>60</v>
      </c>
      <c r="AR17" s="72">
        <v>1.0601851851851854E-2</v>
      </c>
      <c r="AS17" s="25">
        <f t="shared" si="37"/>
        <v>2.896680833839304E-3</v>
      </c>
      <c r="AT17" s="26">
        <f t="shared" si="38"/>
        <v>1</v>
      </c>
      <c r="AU17" s="44"/>
      <c r="AV17" s="50"/>
      <c r="AW17" s="51"/>
      <c r="AX17" s="52"/>
      <c r="AY17" s="53"/>
      <c r="AZ17" s="44"/>
      <c r="BB17" s="58"/>
      <c r="BC17" s="59"/>
      <c r="BG17" s="58"/>
      <c r="BH17" s="59"/>
      <c r="BL17" s="58"/>
      <c r="BM17" s="59"/>
      <c r="BQ17" s="58"/>
      <c r="BR17" s="59"/>
      <c r="BV17" s="58"/>
      <c r="BW17" s="59"/>
      <c r="CA17" s="58"/>
      <c r="CB17" s="59"/>
      <c r="CF17" s="58"/>
      <c r="CG17" s="59"/>
    </row>
    <row r="18" spans="1:85" ht="20.100000000000001" customHeight="1" x14ac:dyDescent="0.2">
      <c r="A18" s="74" t="str">
        <f t="shared" si="20"/>
        <v>Green with Envy</v>
      </c>
      <c r="E18" s="65">
        <f t="shared" si="21"/>
        <v>9.9733796296296306E-2</v>
      </c>
      <c r="F18" s="66">
        <f t="shared" si="22"/>
        <v>6</v>
      </c>
      <c r="H18" s="71" t="s">
        <v>59</v>
      </c>
      <c r="I18" s="72">
        <v>1.2673611111111109E-2</v>
      </c>
      <c r="J18" s="25">
        <f t="shared" si="23"/>
        <v>3.4627352762598659E-3</v>
      </c>
      <c r="K18" s="26">
        <f t="shared" si="24"/>
        <v>6</v>
      </c>
      <c r="L18" s="44"/>
      <c r="M18" s="71" t="s">
        <v>70</v>
      </c>
      <c r="N18" s="72">
        <v>1.1782407407407406E-2</v>
      </c>
      <c r="O18" s="25">
        <f t="shared" si="25"/>
        <v>3.184434434434434E-3</v>
      </c>
      <c r="P18" s="26">
        <f t="shared" si="26"/>
        <v>3</v>
      </c>
      <c r="Q18" s="44"/>
      <c r="R18" s="71" t="s">
        <v>62</v>
      </c>
      <c r="S18" s="72">
        <v>1.5821759259259261E-2</v>
      </c>
      <c r="T18" s="25">
        <f t="shared" si="27"/>
        <v>2.9852375960866531E-3</v>
      </c>
      <c r="U18" s="26">
        <f t="shared" si="28"/>
        <v>4</v>
      </c>
      <c r="V18" s="44"/>
      <c r="W18" s="71" t="s">
        <v>63</v>
      </c>
      <c r="X18" s="72">
        <v>1.1759259259259259E-2</v>
      </c>
      <c r="Y18" s="25">
        <f t="shared" si="29"/>
        <v>2.6131687242798352E-3</v>
      </c>
      <c r="Z18" s="26">
        <f t="shared" si="30"/>
        <v>1</v>
      </c>
      <c r="AA18" s="44"/>
      <c r="AB18" s="71" t="s">
        <v>62</v>
      </c>
      <c r="AC18" s="72">
        <v>1.3564814814814816E-2</v>
      </c>
      <c r="AD18" s="25">
        <f t="shared" si="31"/>
        <v>3.0144032921810703E-3</v>
      </c>
      <c r="AE18" s="26">
        <f t="shared" si="32"/>
        <v>6</v>
      </c>
      <c r="AF18" s="44"/>
      <c r="AG18" s="71" t="s">
        <v>70</v>
      </c>
      <c r="AH18" s="72">
        <v>1.2037037037037035E-2</v>
      </c>
      <c r="AI18" s="25">
        <f t="shared" si="33"/>
        <v>2.8591536905076096E-3</v>
      </c>
      <c r="AJ18" s="26">
        <f t="shared" si="34"/>
        <v>6</v>
      </c>
      <c r="AK18" s="44"/>
      <c r="AL18" s="71" t="s">
        <v>63</v>
      </c>
      <c r="AM18" s="72">
        <v>1.0810185185185185E-2</v>
      </c>
      <c r="AN18" s="25">
        <f t="shared" si="35"/>
        <v>2.4076136269900188E-3</v>
      </c>
      <c r="AO18" s="26">
        <f t="shared" si="36"/>
        <v>1</v>
      </c>
      <c r="AP18" s="44"/>
      <c r="AQ18" s="71" t="s">
        <v>59</v>
      </c>
      <c r="AR18" s="72">
        <v>1.1284722222222222E-2</v>
      </c>
      <c r="AS18" s="25">
        <f t="shared" si="37"/>
        <v>3.0832574377656343E-3</v>
      </c>
      <c r="AT18" s="26">
        <f t="shared" si="38"/>
        <v>4</v>
      </c>
      <c r="AU18" s="44"/>
      <c r="AV18" s="50"/>
      <c r="AW18" s="51"/>
      <c r="AX18" s="52"/>
      <c r="AY18" s="53"/>
      <c r="AZ18" s="44"/>
      <c r="BB18" s="58"/>
      <c r="BC18" s="59"/>
      <c r="BG18" s="58"/>
      <c r="BH18" s="59"/>
      <c r="BL18" s="58"/>
      <c r="BM18" s="59"/>
      <c r="BQ18" s="58"/>
      <c r="BR18" s="59"/>
      <c r="BV18" s="58"/>
      <c r="BW18" s="59"/>
      <c r="CA18" s="58"/>
      <c r="CB18" s="59"/>
      <c r="CF18" s="58"/>
      <c r="CG18" s="59"/>
    </row>
    <row r="20" spans="1:85" ht="30" customHeight="1" x14ac:dyDescent="0.2"/>
    <row r="21" spans="1:85" ht="30" customHeight="1" x14ac:dyDescent="0.2"/>
    <row r="22" spans="1:85" x14ac:dyDescent="0.2">
      <c r="A22" s="54" t="s">
        <v>0</v>
      </c>
    </row>
    <row r="23" spans="1:85" x14ac:dyDescent="0.2">
      <c r="A23" s="54">
        <v>1</v>
      </c>
      <c r="B23" s="54" t="str">
        <f>'Team Selection'!D3</f>
        <v>Simon Bevege</v>
      </c>
      <c r="C23" s="54" t="str">
        <f>'Team Selection'!F3</f>
        <v>Norval Hope</v>
      </c>
      <c r="D23" s="54" t="str">
        <f>'Team Selection'!H3</f>
        <v>Thai Phan</v>
      </c>
      <c r="E23" s="54" t="str">
        <f>'Team Selection'!J3</f>
        <v>David Burnheim</v>
      </c>
      <c r="F23" s="59"/>
    </row>
    <row r="24" spans="1:85" x14ac:dyDescent="0.2">
      <c r="A24" s="54">
        <v>2</v>
      </c>
      <c r="B24" s="54" t="str">
        <f>'Team Selection'!D4</f>
        <v>Mark Stodden</v>
      </c>
      <c r="C24" s="54" t="str">
        <f>'Team Selection'!F4</f>
        <v>Glenn Goodman</v>
      </c>
      <c r="D24" s="54" t="str">
        <f>'Team Selection'!H4</f>
        <v>Shane Kent</v>
      </c>
      <c r="E24" s="54" t="str">
        <f>'Team Selection'!J4</f>
        <v>Simon Walker</v>
      </c>
      <c r="F24" s="59"/>
    </row>
    <row r="25" spans="1:85" x14ac:dyDescent="0.2">
      <c r="A25" s="54">
        <v>3</v>
      </c>
      <c r="B25" s="54" t="str">
        <f>'Team Selection'!D5</f>
        <v>Richard Does</v>
      </c>
      <c r="C25" s="54" t="str">
        <f>'Team Selection'!F5</f>
        <v>Ewen Vowels</v>
      </c>
      <c r="D25" s="54" t="str">
        <f>'Team Selection'!H5</f>
        <v>Ian Dent</v>
      </c>
      <c r="E25" s="54" t="str">
        <f>'Team Selection'!J5</f>
        <v>Nick Tobin</v>
      </c>
      <c r="F25" s="59"/>
    </row>
    <row r="26" spans="1:85" x14ac:dyDescent="0.2">
      <c r="A26" s="54">
        <v>4</v>
      </c>
      <c r="B26" s="54" t="str">
        <f>'Team Selection'!D6</f>
        <v>Anthony Mithen</v>
      </c>
      <c r="C26" s="54" t="str">
        <f>'Team Selection'!F6</f>
        <v>Chris Wright</v>
      </c>
      <c r="D26" s="54" t="str">
        <f>'Team Selection'!H6</f>
        <v>David Hartley</v>
      </c>
      <c r="E26" s="54" t="str">
        <f>'Team Selection'!J6</f>
        <v>John Dixon</v>
      </c>
      <c r="F26" s="59"/>
    </row>
    <row r="27" spans="1:85" x14ac:dyDescent="0.2">
      <c r="A27" s="54">
        <v>5</v>
      </c>
      <c r="B27" s="54" t="str">
        <f>'Team Selection'!D7</f>
        <v>David Alcock</v>
      </c>
      <c r="C27" s="54" t="str">
        <f>'Team Selection'!F7</f>
        <v>Glenn Carroll</v>
      </c>
      <c r="D27" s="54" t="str">
        <f>'Team Selection'!H7</f>
        <v>Chris Osborne</v>
      </c>
      <c r="E27" s="54" t="str">
        <f>'Team Selection'!J7</f>
        <v>Martin Duchovny</v>
      </c>
      <c r="F27" s="59"/>
      <c r="I27" s="59"/>
    </row>
    <row r="28" spans="1:85" x14ac:dyDescent="0.2">
      <c r="A28" s="54">
        <v>6</v>
      </c>
      <c r="B28" s="54" t="str">
        <f>'Team Selection'!D8</f>
        <v>Rob Dalton</v>
      </c>
      <c r="C28" s="54" t="str">
        <f>'Team Selection'!F8</f>
        <v>Nick Turner</v>
      </c>
      <c r="D28" s="54" t="str">
        <f>'Team Selection'!H8</f>
        <v>Kirsten Jackson</v>
      </c>
      <c r="E28" s="54" t="str">
        <f>'Team Selection'!J8</f>
        <v>James Chiriano</v>
      </c>
      <c r="F28" s="59"/>
      <c r="I28" s="59"/>
    </row>
    <row r="29" spans="1:85" x14ac:dyDescent="0.2">
      <c r="I29" s="51"/>
      <c r="N29" s="51"/>
      <c r="S29" s="51"/>
      <c r="X29" s="51"/>
      <c r="AC29" s="51"/>
      <c r="AH29" s="51"/>
      <c r="AM29" s="51"/>
      <c r="AR29" s="51"/>
    </row>
    <row r="30" spans="1:85" x14ac:dyDescent="0.2">
      <c r="I30" s="51"/>
      <c r="N30" s="51"/>
      <c r="S30" s="51"/>
      <c r="X30" s="51"/>
      <c r="AC30" s="51"/>
      <c r="AH30" s="51"/>
      <c r="AM30" s="51"/>
      <c r="AR30" s="51"/>
    </row>
    <row r="31" spans="1:85" x14ac:dyDescent="0.2">
      <c r="I31" s="51"/>
      <c r="S31" s="51"/>
      <c r="X31" s="51"/>
      <c r="AC31" s="51"/>
      <c r="AH31" s="51"/>
      <c r="AM31" s="51"/>
      <c r="AR31" s="51"/>
    </row>
    <row r="32" spans="1:85" x14ac:dyDescent="0.2">
      <c r="I32" s="51"/>
      <c r="S32" s="51"/>
      <c r="X32" s="51"/>
      <c r="AC32" s="51"/>
      <c r="AH32" s="51"/>
      <c r="AM32" s="51"/>
      <c r="AR32" s="51"/>
    </row>
    <row r="33" spans="9:44" x14ac:dyDescent="0.2">
      <c r="I33" s="51"/>
      <c r="S33" s="51"/>
      <c r="X33" s="51"/>
      <c r="AC33" s="51"/>
      <c r="AH33" s="51"/>
      <c r="AM33" s="51"/>
      <c r="AR33" s="51"/>
    </row>
    <row r="41" spans="9:44" x14ac:dyDescent="0.2">
      <c r="L41" s="76"/>
    </row>
    <row r="42" spans="9:44" x14ac:dyDescent="0.2">
      <c r="L42" s="76"/>
    </row>
    <row r="43" spans="9:44" x14ac:dyDescent="0.2">
      <c r="L43" s="44"/>
    </row>
    <row r="44" spans="9:44" x14ac:dyDescent="0.2">
      <c r="L44" s="44"/>
    </row>
    <row r="45" spans="9:44" x14ac:dyDescent="0.2">
      <c r="L45" s="44"/>
    </row>
    <row r="46" spans="9:44" x14ac:dyDescent="0.2">
      <c r="L46" s="44"/>
    </row>
    <row r="47" spans="9:44" x14ac:dyDescent="0.2">
      <c r="L47" s="44"/>
      <c r="N47" s="58"/>
      <c r="O47" s="59"/>
    </row>
    <row r="48" spans="9:44" x14ac:dyDescent="0.2">
      <c r="L48" s="44"/>
    </row>
    <row r="49" spans="8:86" x14ac:dyDescent="0.2">
      <c r="L49" s="44"/>
    </row>
    <row r="50" spans="8:86" x14ac:dyDescent="0.2">
      <c r="I50" s="58"/>
      <c r="J50" s="59"/>
    </row>
    <row r="51" spans="8:86" x14ac:dyDescent="0.2">
      <c r="H51" s="62" t="s">
        <v>51</v>
      </c>
      <c r="J51" s="76"/>
      <c r="N51" s="117"/>
      <c r="O51" s="115"/>
      <c r="P51" s="116"/>
      <c r="CF51" s="57"/>
      <c r="CH51" s="57"/>
    </row>
    <row r="52" spans="8:86" x14ac:dyDescent="0.2">
      <c r="H52" s="72">
        <f t="shared" ref="H52:H57" si="39">I4</f>
        <v>9.2361111111111116E-3</v>
      </c>
      <c r="L52" s="44"/>
      <c r="N52" s="57"/>
      <c r="O52" s="59"/>
      <c r="P52" s="57"/>
      <c r="Q52" s="115"/>
      <c r="R52" s="60"/>
      <c r="S52" s="57"/>
      <c r="T52" s="59"/>
      <c r="U52" s="57"/>
      <c r="W52" s="60"/>
      <c r="X52" s="57"/>
      <c r="Y52" s="59"/>
      <c r="Z52" s="57"/>
      <c r="AB52" s="60"/>
      <c r="AC52" s="57"/>
      <c r="AD52" s="59"/>
      <c r="AE52" s="57"/>
      <c r="AH52" s="57"/>
      <c r="AI52" s="59"/>
      <c r="AJ52" s="57"/>
      <c r="AL52" s="60"/>
      <c r="AM52" s="57"/>
      <c r="AN52" s="59"/>
      <c r="AO52" s="57"/>
      <c r="AQ52" s="60"/>
      <c r="AR52" s="57"/>
      <c r="AS52" s="59"/>
      <c r="AT52" s="57"/>
      <c r="AV52" s="60"/>
      <c r="AW52" s="57"/>
      <c r="AX52" s="59"/>
      <c r="AY52" s="57"/>
      <c r="BA52" s="60"/>
      <c r="BB52" s="57"/>
      <c r="BC52" s="59"/>
      <c r="BD52" s="57"/>
      <c r="BF52" s="60"/>
      <c r="BG52" s="57"/>
      <c r="BH52" s="59"/>
      <c r="BI52" s="57"/>
      <c r="BK52" s="60"/>
      <c r="BL52" s="57"/>
      <c r="BM52" s="59"/>
      <c r="BN52" s="57"/>
      <c r="BP52" s="60"/>
      <c r="BQ52" s="57"/>
      <c r="BR52" s="59"/>
      <c r="BS52" s="57"/>
      <c r="BU52" s="60"/>
      <c r="BV52" s="57"/>
      <c r="BW52" s="59"/>
      <c r="BX52" s="57"/>
      <c r="BZ52" s="60"/>
      <c r="CA52" s="57"/>
      <c r="CB52" s="59"/>
      <c r="CC52" s="57"/>
      <c r="CE52" s="60"/>
      <c r="CF52" s="57"/>
      <c r="CG52" s="59"/>
      <c r="CH52" s="57"/>
    </row>
    <row r="53" spans="8:86" x14ac:dyDescent="0.2">
      <c r="H53" s="72">
        <f t="shared" si="39"/>
        <v>9.2592592592592605E-3</v>
      </c>
      <c r="L53" s="44"/>
      <c r="N53" s="57"/>
      <c r="O53" s="59"/>
      <c r="P53" s="57"/>
      <c r="Q53" s="115"/>
      <c r="R53" s="60"/>
      <c r="S53" s="57"/>
      <c r="T53" s="59"/>
      <c r="U53" s="57"/>
      <c r="W53" s="60"/>
      <c r="X53" s="57"/>
      <c r="Y53" s="59"/>
      <c r="Z53" s="57"/>
      <c r="AB53" s="60"/>
      <c r="AC53" s="57"/>
      <c r="AD53" s="59"/>
      <c r="AE53" s="57"/>
      <c r="AH53" s="57"/>
      <c r="AI53" s="59"/>
      <c r="AJ53" s="57"/>
      <c r="AL53" s="60"/>
      <c r="AM53" s="57"/>
      <c r="AN53" s="59"/>
      <c r="AO53" s="57"/>
      <c r="AQ53" s="60"/>
      <c r="AR53" s="57"/>
      <c r="AS53" s="59"/>
      <c r="AT53" s="57"/>
      <c r="AV53" s="60"/>
      <c r="AW53" s="57"/>
      <c r="AX53" s="59"/>
      <c r="AY53" s="57"/>
      <c r="BA53" s="60"/>
      <c r="BB53" s="57"/>
      <c r="BC53" s="59"/>
      <c r="BD53" s="57"/>
      <c r="BF53" s="60"/>
      <c r="BG53" s="57"/>
      <c r="BH53" s="59"/>
      <c r="BI53" s="57"/>
      <c r="BK53" s="60"/>
      <c r="BL53" s="57"/>
      <c r="BM53" s="59"/>
      <c r="BN53" s="57"/>
      <c r="BP53" s="60"/>
      <c r="BQ53" s="57"/>
      <c r="BR53" s="59"/>
      <c r="BS53" s="57"/>
      <c r="BU53" s="60"/>
      <c r="BV53" s="57"/>
      <c r="BW53" s="59"/>
      <c r="BX53" s="57"/>
      <c r="BZ53" s="60"/>
      <c r="CA53" s="57"/>
      <c r="CB53" s="59"/>
      <c r="CC53" s="57"/>
      <c r="CE53" s="60"/>
      <c r="CF53" s="57"/>
      <c r="CG53" s="59"/>
      <c r="CH53" s="57"/>
    </row>
    <row r="54" spans="8:86" x14ac:dyDescent="0.2">
      <c r="H54" s="72">
        <f t="shared" si="39"/>
        <v>9.386574074074075E-3</v>
      </c>
      <c r="L54" s="44"/>
      <c r="N54" s="57"/>
      <c r="O54" s="59"/>
      <c r="P54" s="57"/>
      <c r="Q54" s="115"/>
      <c r="R54" s="60"/>
      <c r="S54" s="57"/>
      <c r="T54" s="59"/>
      <c r="U54" s="57"/>
      <c r="W54" s="60"/>
      <c r="X54" s="57"/>
      <c r="Y54" s="59"/>
      <c r="Z54" s="57"/>
      <c r="AB54" s="60"/>
      <c r="AC54" s="57"/>
      <c r="AD54" s="59"/>
      <c r="AE54" s="57"/>
      <c r="AH54" s="57"/>
      <c r="AI54" s="59"/>
      <c r="AJ54" s="57"/>
      <c r="AL54" s="60"/>
      <c r="AM54" s="57"/>
      <c r="AN54" s="59"/>
      <c r="AO54" s="57"/>
      <c r="AQ54" s="60"/>
      <c r="AR54" s="57"/>
      <c r="AS54" s="59"/>
      <c r="AT54" s="57"/>
      <c r="AV54" s="60"/>
      <c r="AW54" s="57"/>
      <c r="AX54" s="59"/>
      <c r="AY54" s="57"/>
      <c r="BA54" s="60"/>
      <c r="BB54" s="57"/>
      <c r="BC54" s="59"/>
      <c r="BD54" s="57"/>
      <c r="BF54" s="60"/>
      <c r="BG54" s="57"/>
      <c r="BH54" s="59"/>
      <c r="BI54" s="57"/>
      <c r="BK54" s="60"/>
      <c r="BL54" s="57"/>
      <c r="BM54" s="59"/>
      <c r="BN54" s="57"/>
      <c r="BP54" s="60"/>
      <c r="BQ54" s="57"/>
      <c r="BR54" s="59"/>
      <c r="BS54" s="57"/>
      <c r="BU54" s="60"/>
      <c r="BV54" s="57"/>
      <c r="BW54" s="59"/>
      <c r="BX54" s="57"/>
      <c r="BZ54" s="60"/>
      <c r="CA54" s="57"/>
      <c r="CB54" s="59"/>
      <c r="CC54" s="57"/>
      <c r="CE54" s="60"/>
      <c r="CF54" s="57"/>
      <c r="CG54" s="59"/>
      <c r="CH54" s="57"/>
    </row>
    <row r="55" spans="8:86" x14ac:dyDescent="0.2">
      <c r="H55" s="72">
        <f t="shared" si="39"/>
        <v>8.9467592592592585E-3</v>
      </c>
      <c r="L55" s="44"/>
      <c r="N55" s="57"/>
      <c r="O55" s="59"/>
      <c r="P55" s="57"/>
      <c r="Q55" s="115"/>
      <c r="R55" s="60"/>
      <c r="S55" s="57"/>
      <c r="T55" s="59"/>
      <c r="U55" s="57"/>
      <c r="W55" s="60"/>
      <c r="X55" s="57"/>
      <c r="Y55" s="59"/>
      <c r="Z55" s="57"/>
      <c r="AB55" s="60"/>
      <c r="AC55" s="57"/>
      <c r="AD55" s="59"/>
      <c r="AE55" s="57"/>
      <c r="AH55" s="57"/>
      <c r="AI55" s="59"/>
      <c r="AJ55" s="57"/>
      <c r="AL55" s="60"/>
      <c r="AM55" s="57"/>
      <c r="AN55" s="59"/>
      <c r="AO55" s="57"/>
      <c r="AQ55" s="60"/>
      <c r="AR55" s="57"/>
      <c r="AS55" s="59"/>
      <c r="AT55" s="57"/>
      <c r="AV55" s="60"/>
      <c r="AW55" s="57"/>
      <c r="AX55" s="59"/>
      <c r="AY55" s="57"/>
      <c r="BA55" s="60"/>
      <c r="BB55" s="57"/>
      <c r="BC55" s="59"/>
      <c r="BD55" s="57"/>
      <c r="BF55" s="60"/>
      <c r="BG55" s="57"/>
      <c r="BH55" s="59"/>
      <c r="BI55" s="57"/>
      <c r="BK55" s="60"/>
      <c r="BL55" s="57"/>
      <c r="BM55" s="59"/>
      <c r="BN55" s="57"/>
      <c r="BP55" s="60"/>
      <c r="BQ55" s="57"/>
      <c r="BR55" s="59"/>
      <c r="BS55" s="57"/>
      <c r="BU55" s="60"/>
      <c r="BV55" s="57"/>
      <c r="BW55" s="59"/>
      <c r="BX55" s="57"/>
      <c r="BZ55" s="60"/>
      <c r="CA55" s="57"/>
      <c r="CB55" s="59"/>
      <c r="CC55" s="57"/>
      <c r="CE55" s="60"/>
      <c r="CF55" s="57"/>
      <c r="CG55" s="59"/>
      <c r="CH55" s="57"/>
    </row>
    <row r="56" spans="8:86" x14ac:dyDescent="0.2">
      <c r="H56" s="72">
        <f t="shared" si="39"/>
        <v>9.1782407407407403E-3</v>
      </c>
      <c r="L56" s="44"/>
      <c r="N56" s="57"/>
      <c r="O56" s="59"/>
      <c r="P56" s="57"/>
      <c r="Q56" s="115"/>
      <c r="R56" s="60"/>
      <c r="S56" s="57"/>
      <c r="T56" s="59"/>
      <c r="U56" s="57"/>
      <c r="W56" s="60"/>
      <c r="X56" s="57"/>
      <c r="Y56" s="59"/>
      <c r="Z56" s="57"/>
      <c r="AB56" s="60"/>
      <c r="AC56" s="57"/>
      <c r="AD56" s="59"/>
      <c r="AE56" s="57"/>
      <c r="AH56" s="57"/>
      <c r="AI56" s="59"/>
      <c r="AJ56" s="57"/>
      <c r="AL56" s="60"/>
      <c r="AM56" s="57"/>
      <c r="AN56" s="59"/>
      <c r="AO56" s="57"/>
      <c r="AQ56" s="60"/>
      <c r="AR56" s="57"/>
      <c r="AS56" s="59"/>
      <c r="AT56" s="57"/>
      <c r="AV56" s="60"/>
      <c r="AW56" s="57"/>
      <c r="AX56" s="59"/>
      <c r="AY56" s="57"/>
      <c r="BA56" s="60"/>
      <c r="BB56" s="57"/>
      <c r="BC56" s="59"/>
      <c r="BD56" s="57"/>
      <c r="BF56" s="60"/>
      <c r="BG56" s="57"/>
      <c r="BH56" s="59"/>
      <c r="BI56" s="57"/>
      <c r="BK56" s="60"/>
      <c r="BL56" s="57"/>
      <c r="BM56" s="59"/>
      <c r="BN56" s="57"/>
      <c r="BP56" s="60"/>
      <c r="BQ56" s="57"/>
      <c r="BR56" s="59"/>
      <c r="BS56" s="57"/>
      <c r="BU56" s="60"/>
      <c r="BV56" s="57"/>
      <c r="BW56" s="59"/>
      <c r="BX56" s="57"/>
      <c r="BZ56" s="60"/>
      <c r="CA56" s="57"/>
      <c r="CB56" s="59"/>
      <c r="CC56" s="57"/>
      <c r="CE56" s="60"/>
      <c r="CF56" s="57"/>
      <c r="CG56" s="59"/>
      <c r="CH56" s="57"/>
    </row>
    <row r="57" spans="8:86" x14ac:dyDescent="0.2">
      <c r="H57" s="72">
        <f t="shared" si="39"/>
        <v>1.1145833333333334E-2</v>
      </c>
      <c r="L57" s="44"/>
      <c r="N57" s="57"/>
      <c r="O57" s="59"/>
      <c r="P57" s="57"/>
      <c r="Q57" s="115"/>
      <c r="R57" s="60"/>
      <c r="S57" s="57"/>
      <c r="T57" s="59"/>
      <c r="U57" s="57"/>
      <c r="W57" s="60"/>
      <c r="X57" s="57"/>
      <c r="Y57" s="59"/>
      <c r="Z57" s="57"/>
      <c r="AB57" s="60"/>
      <c r="AC57" s="57"/>
      <c r="AD57" s="59"/>
      <c r="AE57" s="57"/>
      <c r="AH57" s="57"/>
      <c r="AI57" s="59"/>
      <c r="AJ57" s="57"/>
      <c r="AL57" s="60"/>
      <c r="AM57" s="57"/>
      <c r="AN57" s="59"/>
      <c r="AO57" s="57"/>
      <c r="AQ57" s="60"/>
      <c r="AR57" s="57"/>
      <c r="AS57" s="59"/>
      <c r="AT57" s="57"/>
      <c r="AV57" s="60"/>
      <c r="AW57" s="57"/>
      <c r="AX57" s="59"/>
      <c r="AY57" s="57"/>
      <c r="BA57" s="60"/>
      <c r="BB57" s="57"/>
      <c r="BC57" s="59"/>
      <c r="BD57" s="57"/>
      <c r="BF57" s="60"/>
      <c r="BG57" s="57"/>
      <c r="BH57" s="59"/>
      <c r="BI57" s="57"/>
      <c r="BK57" s="60"/>
      <c r="BL57" s="57"/>
      <c r="BM57" s="59"/>
      <c r="BN57" s="57"/>
      <c r="BP57" s="60"/>
      <c r="BQ57" s="57"/>
      <c r="BR57" s="59"/>
      <c r="BS57" s="57"/>
      <c r="BU57" s="60"/>
      <c r="BV57" s="57"/>
      <c r="BW57" s="59"/>
      <c r="BX57" s="57"/>
      <c r="BZ57" s="60"/>
      <c r="CA57" s="57"/>
      <c r="CB57" s="59"/>
      <c r="CC57" s="57"/>
      <c r="CE57" s="60"/>
      <c r="CF57" s="57"/>
      <c r="CG57" s="59"/>
      <c r="CH57" s="57"/>
    </row>
    <row r="58" spans="8:86" x14ac:dyDescent="0.2">
      <c r="H58" s="72">
        <f t="shared" ref="H58:H63" si="40">N4</f>
        <v>9.5601851851851855E-3</v>
      </c>
      <c r="L58" s="44"/>
      <c r="N58" s="57"/>
      <c r="O58" s="59"/>
      <c r="P58" s="57"/>
      <c r="Q58" s="115"/>
      <c r="R58" s="60"/>
      <c r="S58" s="57"/>
      <c r="T58" s="59"/>
      <c r="U58" s="57"/>
      <c r="W58" s="60"/>
      <c r="X58" s="57"/>
      <c r="Y58" s="59"/>
      <c r="Z58" s="57"/>
      <c r="AB58" s="60"/>
      <c r="AC58" s="57"/>
      <c r="AD58" s="59"/>
      <c r="AE58" s="57"/>
      <c r="AH58" s="57"/>
      <c r="AI58" s="59"/>
      <c r="AJ58" s="57"/>
      <c r="AL58" s="60"/>
      <c r="AM58" s="57"/>
      <c r="AN58" s="59"/>
      <c r="AO58" s="57"/>
      <c r="AQ58" s="60"/>
      <c r="AR58" s="57"/>
      <c r="AS58" s="59"/>
      <c r="AT58" s="57"/>
      <c r="AV58" s="60"/>
      <c r="AW58" s="57"/>
      <c r="AX58" s="59"/>
      <c r="AY58" s="57"/>
      <c r="BA58" s="60"/>
      <c r="BB58" s="57"/>
      <c r="BC58" s="59"/>
      <c r="BD58" s="57"/>
      <c r="BF58" s="60"/>
      <c r="BG58" s="57"/>
      <c r="BH58" s="59"/>
      <c r="BI58" s="57"/>
      <c r="BK58" s="60"/>
      <c r="BL58" s="57"/>
      <c r="BM58" s="59"/>
      <c r="BN58" s="57"/>
      <c r="BP58" s="60"/>
      <c r="BQ58" s="57"/>
      <c r="BR58" s="59"/>
      <c r="BS58" s="57"/>
      <c r="BU58" s="60"/>
      <c r="BV58" s="57"/>
      <c r="BW58" s="59"/>
      <c r="BX58" s="57"/>
      <c r="BZ58" s="60"/>
      <c r="CA58" s="57"/>
      <c r="CB58" s="59"/>
      <c r="CC58" s="57"/>
      <c r="CE58" s="60"/>
      <c r="CF58" s="57"/>
      <c r="CG58" s="59"/>
      <c r="CH58" s="57"/>
    </row>
    <row r="59" spans="8:86" x14ac:dyDescent="0.2">
      <c r="H59" s="72">
        <f t="shared" si="40"/>
        <v>9.2013888888888892E-3</v>
      </c>
      <c r="L59" s="44"/>
      <c r="N59" s="57"/>
      <c r="O59" s="59"/>
      <c r="P59" s="57"/>
      <c r="Q59" s="115"/>
      <c r="R59" s="60"/>
      <c r="S59" s="57"/>
      <c r="T59" s="59"/>
      <c r="U59" s="57"/>
      <c r="W59" s="60"/>
      <c r="X59" s="57"/>
      <c r="Y59" s="59"/>
      <c r="Z59" s="57"/>
      <c r="AB59" s="60"/>
      <c r="AC59" s="57"/>
      <c r="AD59" s="59"/>
      <c r="AE59" s="57"/>
      <c r="AH59" s="57"/>
      <c r="AI59" s="59"/>
      <c r="AJ59" s="57"/>
      <c r="AL59" s="60"/>
      <c r="AM59" s="57"/>
      <c r="AN59" s="59"/>
      <c r="AO59" s="57"/>
      <c r="AQ59" s="60"/>
      <c r="AR59" s="57"/>
      <c r="AS59" s="59"/>
      <c r="AT59" s="57"/>
      <c r="AV59" s="60"/>
      <c r="AW59" s="57"/>
      <c r="AX59" s="59"/>
      <c r="AY59" s="57"/>
      <c r="BA59" s="60"/>
      <c r="BB59" s="57"/>
      <c r="BC59" s="59"/>
      <c r="BD59" s="57"/>
      <c r="BF59" s="60"/>
      <c r="BG59" s="57"/>
      <c r="BH59" s="59"/>
      <c r="BI59" s="57"/>
      <c r="BK59" s="60"/>
      <c r="BL59" s="57"/>
      <c r="BM59" s="59"/>
      <c r="BN59" s="57"/>
      <c r="BP59" s="60"/>
      <c r="BQ59" s="57"/>
      <c r="BR59" s="59"/>
      <c r="BS59" s="57"/>
      <c r="BU59" s="60"/>
      <c r="BV59" s="57"/>
      <c r="BW59" s="59"/>
      <c r="BX59" s="57"/>
      <c r="BZ59" s="60"/>
      <c r="CA59" s="57"/>
      <c r="CB59" s="59"/>
      <c r="CC59" s="57"/>
      <c r="CE59" s="60"/>
      <c r="CF59" s="57"/>
      <c r="CG59" s="59"/>
      <c r="CH59" s="57"/>
    </row>
    <row r="60" spans="8:86" x14ac:dyDescent="0.2">
      <c r="H60" s="72">
        <f t="shared" si="40"/>
        <v>9.1666666666666667E-3</v>
      </c>
      <c r="L60" s="44"/>
      <c r="N60" s="57"/>
      <c r="O60" s="59"/>
      <c r="P60" s="57"/>
      <c r="Q60" s="115"/>
      <c r="R60" s="60"/>
      <c r="S60" s="57"/>
      <c r="T60" s="59"/>
      <c r="U60" s="57"/>
      <c r="W60" s="60"/>
      <c r="X60" s="57"/>
      <c r="Y60" s="59"/>
      <c r="Z60" s="57"/>
      <c r="AB60" s="60"/>
      <c r="AC60" s="57"/>
      <c r="AD60" s="59"/>
      <c r="AE60" s="57"/>
      <c r="AH60" s="57"/>
      <c r="AI60" s="59"/>
      <c r="AJ60" s="57"/>
      <c r="AL60" s="60"/>
      <c r="AM60" s="57"/>
      <c r="AN60" s="59"/>
      <c r="AO60" s="57"/>
      <c r="AQ60" s="60"/>
      <c r="AR60" s="57"/>
      <c r="AS60" s="59"/>
      <c r="AT60" s="57"/>
      <c r="AV60" s="60"/>
      <c r="AW60" s="57"/>
      <c r="AX60" s="59"/>
      <c r="AY60" s="57"/>
      <c r="BA60" s="60"/>
      <c r="BB60" s="57"/>
      <c r="BC60" s="59"/>
      <c r="BD60" s="57"/>
      <c r="BF60" s="60"/>
      <c r="BG60" s="57"/>
      <c r="BH60" s="59"/>
      <c r="BI60" s="57"/>
      <c r="BK60" s="60"/>
      <c r="BL60" s="57"/>
      <c r="BM60" s="59"/>
      <c r="BN60" s="57"/>
      <c r="BP60" s="60"/>
      <c r="BQ60" s="57"/>
      <c r="BR60" s="59"/>
      <c r="BS60" s="57"/>
      <c r="BU60" s="60"/>
      <c r="BV60" s="57"/>
      <c r="BW60" s="59"/>
      <c r="BX60" s="57"/>
      <c r="BZ60" s="60"/>
      <c r="CA60" s="57"/>
      <c r="CB60" s="59"/>
      <c r="CC60" s="57"/>
      <c r="CE60" s="60"/>
      <c r="CF60" s="57"/>
      <c r="CG60" s="59"/>
      <c r="CH60" s="57"/>
    </row>
    <row r="61" spans="8:86" x14ac:dyDescent="0.2">
      <c r="H61" s="72">
        <f t="shared" si="40"/>
        <v>9.6643518518518511E-3</v>
      </c>
      <c r="L61" s="44"/>
      <c r="N61" s="57"/>
      <c r="O61" s="59"/>
      <c r="P61" s="57"/>
      <c r="Q61" s="115"/>
      <c r="R61" s="60"/>
      <c r="S61" s="57"/>
      <c r="T61" s="59"/>
      <c r="U61" s="57"/>
      <c r="W61" s="60"/>
      <c r="X61" s="57"/>
      <c r="Y61" s="59"/>
      <c r="Z61" s="57"/>
      <c r="AB61" s="60"/>
      <c r="AC61" s="57"/>
      <c r="AD61" s="59"/>
      <c r="AE61" s="57"/>
      <c r="AH61" s="57"/>
      <c r="AI61" s="59"/>
      <c r="AJ61" s="57"/>
      <c r="AL61" s="60"/>
      <c r="AM61" s="57"/>
      <c r="AN61" s="59"/>
      <c r="AO61" s="57"/>
      <c r="AQ61" s="60"/>
      <c r="AR61" s="57"/>
      <c r="AS61" s="59"/>
      <c r="AT61" s="57"/>
      <c r="AV61" s="60"/>
      <c r="AW61" s="57"/>
      <c r="AX61" s="59"/>
      <c r="AY61" s="57"/>
      <c r="BA61" s="60"/>
      <c r="BB61" s="57"/>
      <c r="BC61" s="59"/>
      <c r="BD61" s="57"/>
      <c r="BF61" s="60"/>
      <c r="BG61" s="57"/>
      <c r="BH61" s="59"/>
      <c r="BI61" s="57"/>
      <c r="BK61" s="60"/>
      <c r="BL61" s="57"/>
      <c r="BM61" s="59"/>
      <c r="BN61" s="57"/>
      <c r="BP61" s="60"/>
      <c r="BQ61" s="57"/>
      <c r="BR61" s="59"/>
      <c r="BS61" s="57"/>
      <c r="BU61" s="60"/>
      <c r="BV61" s="57"/>
      <c r="BW61" s="59"/>
      <c r="BX61" s="57"/>
      <c r="BZ61" s="60"/>
      <c r="CA61" s="57"/>
      <c r="CB61" s="59"/>
      <c r="CC61" s="57"/>
      <c r="CE61" s="60"/>
      <c r="CF61" s="57"/>
      <c r="CG61" s="59"/>
      <c r="CH61" s="57"/>
    </row>
    <row r="62" spans="8:86" x14ac:dyDescent="0.2">
      <c r="H62" s="72">
        <f t="shared" si="40"/>
        <v>9.5370370370370366E-3</v>
      </c>
      <c r="L62" s="44"/>
      <c r="N62" s="57"/>
      <c r="O62" s="59"/>
      <c r="P62" s="57"/>
      <c r="Q62" s="115"/>
      <c r="R62" s="60"/>
      <c r="S62" s="57"/>
      <c r="T62" s="59"/>
      <c r="U62" s="57"/>
      <c r="W62" s="60"/>
      <c r="X62" s="57"/>
      <c r="Y62" s="59"/>
      <c r="Z62" s="57"/>
      <c r="AB62" s="60"/>
      <c r="AC62" s="57"/>
      <c r="AD62" s="59"/>
      <c r="AE62" s="57"/>
      <c r="AH62" s="57"/>
      <c r="AI62" s="59"/>
      <c r="AJ62" s="57"/>
      <c r="AL62" s="60"/>
      <c r="AM62" s="57"/>
      <c r="AN62" s="59"/>
      <c r="AO62" s="57"/>
      <c r="AQ62" s="60"/>
      <c r="AR62" s="57"/>
      <c r="AS62" s="59"/>
      <c r="AT62" s="57"/>
      <c r="AV62" s="60"/>
      <c r="AW62" s="57"/>
      <c r="AX62" s="59"/>
      <c r="AY62" s="57"/>
      <c r="BA62" s="60"/>
      <c r="BB62" s="57"/>
      <c r="BC62" s="59"/>
      <c r="BD62" s="57"/>
      <c r="BF62" s="60"/>
      <c r="BG62" s="57"/>
      <c r="BH62" s="59"/>
      <c r="BI62" s="57"/>
      <c r="BK62" s="60"/>
      <c r="BL62" s="57"/>
      <c r="BM62" s="59"/>
      <c r="BN62" s="57"/>
      <c r="BP62" s="60"/>
      <c r="BQ62" s="57"/>
      <c r="BR62" s="59"/>
      <c r="BS62" s="57"/>
      <c r="BU62" s="60"/>
      <c r="BV62" s="57"/>
      <c r="BW62" s="59"/>
      <c r="BX62" s="57"/>
      <c r="BZ62" s="60"/>
      <c r="CA62" s="57"/>
      <c r="CB62" s="59"/>
      <c r="CC62" s="57"/>
      <c r="CE62" s="60"/>
      <c r="CF62" s="57"/>
      <c r="CG62" s="59"/>
      <c r="CH62" s="57"/>
    </row>
    <row r="63" spans="8:86" x14ac:dyDescent="0.2">
      <c r="H63" s="72">
        <f t="shared" si="40"/>
        <v>9.1782407407407403E-3</v>
      </c>
      <c r="L63" s="44"/>
      <c r="N63" s="57"/>
      <c r="O63" s="59"/>
      <c r="P63" s="57"/>
      <c r="Q63" s="115"/>
      <c r="R63" s="60"/>
      <c r="S63" s="57"/>
      <c r="T63" s="59"/>
      <c r="U63" s="57"/>
      <c r="W63" s="60"/>
      <c r="X63" s="57"/>
      <c r="Y63" s="59"/>
      <c r="Z63" s="57"/>
      <c r="AB63" s="60"/>
      <c r="AC63" s="57"/>
      <c r="AD63" s="59"/>
      <c r="AE63" s="57"/>
      <c r="AH63" s="57"/>
      <c r="AI63" s="59"/>
      <c r="AJ63" s="57"/>
      <c r="AL63" s="60"/>
      <c r="AM63" s="57"/>
      <c r="AN63" s="59"/>
      <c r="AO63" s="57"/>
      <c r="AQ63" s="60"/>
      <c r="AR63" s="57"/>
      <c r="AS63" s="59"/>
      <c r="AT63" s="57"/>
      <c r="AV63" s="60"/>
      <c r="AW63" s="57"/>
      <c r="AX63" s="59"/>
      <c r="AY63" s="57"/>
      <c r="BA63" s="60"/>
      <c r="BB63" s="57"/>
      <c r="BC63" s="59"/>
      <c r="BD63" s="57"/>
      <c r="BF63" s="60"/>
      <c r="BG63" s="57"/>
      <c r="BH63" s="59"/>
      <c r="BI63" s="57"/>
      <c r="BK63" s="60"/>
      <c r="BL63" s="57"/>
      <c r="BM63" s="59"/>
      <c r="BN63" s="57"/>
      <c r="BP63" s="60"/>
      <c r="BQ63" s="57"/>
      <c r="BR63" s="59"/>
      <c r="BS63" s="57"/>
      <c r="BU63" s="60"/>
      <c r="BV63" s="57"/>
      <c r="BW63" s="59"/>
      <c r="BX63" s="57"/>
      <c r="BZ63" s="60"/>
      <c r="CA63" s="57"/>
      <c r="CB63" s="59"/>
      <c r="CC63" s="57"/>
      <c r="CE63" s="60"/>
      <c r="CF63" s="57"/>
      <c r="CG63" s="59"/>
      <c r="CH63" s="57"/>
    </row>
    <row r="64" spans="8:86" x14ac:dyDescent="0.2">
      <c r="H64" s="72">
        <f t="shared" ref="H64:H69" si="41">S4</f>
        <v>1.0902777777777777E-2</v>
      </c>
      <c r="L64" s="44"/>
      <c r="N64" s="57"/>
      <c r="O64" s="59"/>
      <c r="P64" s="57"/>
      <c r="Q64" s="115"/>
      <c r="R64" s="60"/>
      <c r="S64" s="57"/>
      <c r="T64" s="59"/>
      <c r="U64" s="57"/>
      <c r="W64" s="60"/>
      <c r="X64" s="57"/>
      <c r="Y64" s="59"/>
      <c r="Z64" s="57"/>
      <c r="AB64" s="60"/>
      <c r="AC64" s="57"/>
      <c r="AD64" s="59"/>
      <c r="AE64" s="57"/>
      <c r="AH64" s="57"/>
      <c r="AI64" s="59"/>
      <c r="AJ64" s="57"/>
      <c r="AL64" s="60"/>
      <c r="AM64" s="57"/>
      <c r="AN64" s="59"/>
      <c r="AO64" s="57"/>
      <c r="AQ64" s="60"/>
      <c r="AR64" s="57"/>
      <c r="AS64" s="59"/>
      <c r="AT64" s="57"/>
      <c r="AV64" s="60"/>
      <c r="AW64" s="57"/>
      <c r="AX64" s="59"/>
      <c r="AY64" s="57"/>
      <c r="BA64" s="60"/>
      <c r="BB64" s="57"/>
      <c r="BC64" s="59"/>
      <c r="BD64" s="57"/>
      <c r="BF64" s="60"/>
      <c r="BG64" s="57"/>
      <c r="BH64" s="59"/>
      <c r="BI64" s="57"/>
      <c r="BK64" s="60"/>
      <c r="BL64" s="57"/>
      <c r="BM64" s="59"/>
      <c r="BN64" s="57"/>
      <c r="BP64" s="60"/>
      <c r="BQ64" s="57"/>
      <c r="BR64" s="59"/>
      <c r="BS64" s="57"/>
      <c r="BU64" s="60"/>
      <c r="BV64" s="57"/>
      <c r="BW64" s="59"/>
      <c r="BX64" s="57"/>
      <c r="BZ64" s="60"/>
      <c r="CA64" s="57"/>
      <c r="CB64" s="59"/>
      <c r="CC64" s="57"/>
      <c r="CE64" s="60"/>
      <c r="CF64" s="57"/>
      <c r="CG64" s="59"/>
      <c r="CH64" s="57"/>
    </row>
    <row r="65" spans="8:86" x14ac:dyDescent="0.2">
      <c r="H65" s="72">
        <f t="shared" si="41"/>
        <v>1.0254629629629629E-2</v>
      </c>
      <c r="L65" s="44"/>
      <c r="N65" s="57"/>
      <c r="O65" s="59"/>
      <c r="P65" s="57"/>
      <c r="Q65" s="115"/>
      <c r="R65" s="60"/>
      <c r="S65" s="57"/>
      <c r="T65" s="59"/>
      <c r="U65" s="57"/>
      <c r="W65" s="60"/>
      <c r="X65" s="57"/>
      <c r="Y65" s="59"/>
      <c r="Z65" s="57"/>
      <c r="AB65" s="60"/>
      <c r="AC65" s="57"/>
      <c r="AD65" s="59"/>
      <c r="AE65" s="57"/>
      <c r="AH65" s="57"/>
      <c r="AI65" s="59"/>
      <c r="AJ65" s="57"/>
      <c r="AL65" s="60"/>
      <c r="AM65" s="57"/>
      <c r="AN65" s="59"/>
      <c r="AO65" s="57"/>
      <c r="AQ65" s="60"/>
      <c r="AR65" s="57"/>
      <c r="AS65" s="59"/>
      <c r="AT65" s="57"/>
      <c r="AV65" s="60"/>
      <c r="AW65" s="57"/>
      <c r="AX65" s="59"/>
      <c r="AY65" s="57"/>
      <c r="BA65" s="60"/>
      <c r="BB65" s="57"/>
      <c r="BC65" s="59"/>
      <c r="BD65" s="57"/>
      <c r="BF65" s="60"/>
      <c r="BG65" s="57"/>
      <c r="BH65" s="59"/>
      <c r="BI65" s="57"/>
      <c r="BK65" s="60"/>
      <c r="BL65" s="57"/>
      <c r="BM65" s="59"/>
      <c r="BN65" s="57"/>
      <c r="BP65" s="60"/>
      <c r="BQ65" s="57"/>
      <c r="BR65" s="59"/>
      <c r="BS65" s="57"/>
      <c r="BU65" s="60"/>
      <c r="BV65" s="57"/>
      <c r="BW65" s="59"/>
      <c r="BX65" s="57"/>
      <c r="BZ65" s="60"/>
      <c r="CA65" s="57"/>
      <c r="CB65" s="59"/>
      <c r="CC65" s="57"/>
      <c r="CE65" s="60"/>
      <c r="CF65" s="57"/>
      <c r="CG65" s="59"/>
      <c r="CH65" s="57"/>
    </row>
    <row r="66" spans="8:86" x14ac:dyDescent="0.2">
      <c r="H66" s="72">
        <f t="shared" si="41"/>
        <v>1.0706018518518517E-2</v>
      </c>
      <c r="L66" s="44"/>
      <c r="N66" s="57"/>
      <c r="O66" s="59"/>
      <c r="P66" s="57"/>
      <c r="Q66" s="115"/>
      <c r="R66" s="60"/>
      <c r="S66" s="57"/>
      <c r="T66" s="59"/>
      <c r="U66" s="57"/>
      <c r="W66" s="60"/>
      <c r="X66" s="57"/>
      <c r="Y66" s="59"/>
      <c r="Z66" s="57"/>
      <c r="AB66" s="60"/>
      <c r="AC66" s="57"/>
      <c r="AD66" s="59"/>
      <c r="AE66" s="57"/>
      <c r="AH66" s="57"/>
      <c r="AI66" s="59"/>
      <c r="AJ66" s="57"/>
      <c r="AL66" s="60"/>
      <c r="AM66" s="57"/>
      <c r="AN66" s="59"/>
      <c r="AO66" s="57"/>
      <c r="AQ66" s="60"/>
      <c r="AR66" s="57"/>
      <c r="AS66" s="59"/>
      <c r="AT66" s="57"/>
      <c r="AV66" s="60"/>
      <c r="AW66" s="57"/>
      <c r="AX66" s="59"/>
      <c r="AY66" s="57"/>
      <c r="BA66" s="60"/>
      <c r="BB66" s="57"/>
      <c r="BC66" s="59"/>
      <c r="BD66" s="57"/>
      <c r="BF66" s="60"/>
      <c r="BG66" s="57"/>
      <c r="BH66" s="59"/>
      <c r="BI66" s="57"/>
      <c r="BK66" s="60"/>
      <c r="BL66" s="57"/>
      <c r="BM66" s="59"/>
      <c r="BN66" s="57"/>
      <c r="BP66" s="60"/>
      <c r="BQ66" s="57"/>
      <c r="BR66" s="59"/>
      <c r="BS66" s="57"/>
      <c r="BU66" s="60"/>
      <c r="BV66" s="57"/>
      <c r="BW66" s="59"/>
      <c r="BX66" s="57"/>
      <c r="BZ66" s="60"/>
      <c r="CA66" s="57"/>
      <c r="CB66" s="59"/>
      <c r="CC66" s="57"/>
      <c r="CE66" s="60"/>
      <c r="CF66" s="57"/>
      <c r="CG66" s="59"/>
      <c r="CH66" s="57"/>
    </row>
    <row r="67" spans="8:86" x14ac:dyDescent="0.2">
      <c r="H67" s="72">
        <f t="shared" si="41"/>
        <v>9.7337962962962977E-3</v>
      </c>
      <c r="L67" s="44"/>
      <c r="N67" s="57"/>
      <c r="O67" s="59"/>
      <c r="P67" s="57"/>
      <c r="Q67" s="115"/>
      <c r="R67" s="60"/>
      <c r="S67" s="57"/>
      <c r="T67" s="59"/>
      <c r="U67" s="57"/>
      <c r="W67" s="60"/>
      <c r="X67" s="57"/>
      <c r="Y67" s="59"/>
      <c r="Z67" s="57"/>
      <c r="AB67" s="60"/>
      <c r="AC67" s="57"/>
      <c r="AD67" s="59"/>
      <c r="AE67" s="57"/>
      <c r="AH67" s="57"/>
      <c r="AI67" s="59"/>
      <c r="AJ67" s="57"/>
      <c r="AL67" s="60"/>
      <c r="AM67" s="57"/>
      <c r="AN67" s="59"/>
      <c r="AO67" s="57"/>
      <c r="AQ67" s="60"/>
      <c r="AR67" s="57"/>
      <c r="AS67" s="59"/>
      <c r="AT67" s="57"/>
      <c r="AV67" s="60"/>
      <c r="AW67" s="57"/>
      <c r="AX67" s="59"/>
      <c r="AY67" s="57"/>
      <c r="BA67" s="60"/>
      <c r="BB67" s="57"/>
      <c r="BC67" s="59"/>
      <c r="BD67" s="57"/>
      <c r="BF67" s="60"/>
      <c r="BG67" s="57"/>
      <c r="BH67" s="59"/>
      <c r="BI67" s="57"/>
      <c r="BK67" s="60"/>
      <c r="BL67" s="57"/>
      <c r="BM67" s="59"/>
      <c r="BN67" s="57"/>
      <c r="BP67" s="60"/>
      <c r="BQ67" s="57"/>
      <c r="BR67" s="59"/>
      <c r="BS67" s="57"/>
      <c r="BU67" s="60"/>
      <c r="BV67" s="57"/>
      <c r="BW67" s="59"/>
      <c r="BX67" s="57"/>
      <c r="BZ67" s="60"/>
      <c r="CA67" s="57"/>
      <c r="CB67" s="59"/>
      <c r="CC67" s="57"/>
      <c r="CE67" s="60"/>
      <c r="CF67" s="57"/>
      <c r="CG67" s="59"/>
      <c r="CH67" s="57"/>
    </row>
    <row r="68" spans="8:86" x14ac:dyDescent="0.2">
      <c r="H68" s="72">
        <f t="shared" si="41"/>
        <v>9.7569444444444448E-3</v>
      </c>
      <c r="L68" s="44"/>
      <c r="N68" s="57"/>
      <c r="O68" s="59"/>
      <c r="P68" s="57"/>
      <c r="Q68" s="115"/>
      <c r="R68" s="60"/>
      <c r="S68" s="57"/>
      <c r="T68" s="59"/>
      <c r="U68" s="57"/>
      <c r="W68" s="60"/>
      <c r="X68" s="57"/>
      <c r="Y68" s="59"/>
      <c r="Z68" s="57"/>
      <c r="AB68" s="60"/>
      <c r="AC68" s="57"/>
      <c r="AD68" s="59"/>
      <c r="AE68" s="57"/>
      <c r="AH68" s="57"/>
      <c r="AI68" s="59"/>
      <c r="AJ68" s="57"/>
      <c r="AL68" s="60"/>
      <c r="AM68" s="57"/>
      <c r="AN68" s="59"/>
      <c r="AO68" s="57"/>
      <c r="AQ68" s="60"/>
      <c r="AR68" s="57"/>
      <c r="AS68" s="59"/>
      <c r="AT68" s="57"/>
      <c r="AV68" s="60"/>
      <c r="AW68" s="57"/>
      <c r="AX68" s="59"/>
      <c r="AY68" s="57"/>
      <c r="BA68" s="60"/>
      <c r="BB68" s="57"/>
      <c r="BC68" s="59"/>
      <c r="BD68" s="57"/>
      <c r="BF68" s="60"/>
      <c r="BG68" s="57"/>
      <c r="BH68" s="59"/>
      <c r="BI68" s="57"/>
      <c r="BK68" s="60"/>
      <c r="BL68" s="57"/>
      <c r="BM68" s="59"/>
      <c r="BN68" s="57"/>
      <c r="BP68" s="60"/>
      <c r="BQ68" s="57"/>
      <c r="BR68" s="59"/>
      <c r="BS68" s="57"/>
      <c r="BU68" s="60"/>
      <c r="BV68" s="57"/>
      <c r="BW68" s="59"/>
      <c r="BX68" s="57"/>
      <c r="BZ68" s="60"/>
      <c r="CA68" s="57"/>
      <c r="CB68" s="59"/>
      <c r="CC68" s="57"/>
      <c r="CE68" s="60"/>
      <c r="CF68" s="57"/>
      <c r="CG68" s="59"/>
      <c r="CH68" s="57"/>
    </row>
    <row r="69" spans="8:86" x14ac:dyDescent="0.2">
      <c r="H69" s="72">
        <f t="shared" si="41"/>
        <v>9.2939814814814812E-3</v>
      </c>
      <c r="L69" s="44"/>
      <c r="N69" s="57"/>
      <c r="O69" s="59"/>
      <c r="P69" s="57"/>
      <c r="Q69" s="115"/>
      <c r="R69" s="60"/>
      <c r="S69" s="57"/>
      <c r="T69" s="59"/>
      <c r="U69" s="57"/>
      <c r="W69" s="60"/>
      <c r="X69" s="57"/>
      <c r="Y69" s="59"/>
      <c r="Z69" s="57"/>
      <c r="AB69" s="60"/>
      <c r="AC69" s="57"/>
      <c r="AD69" s="59"/>
      <c r="AE69" s="57"/>
      <c r="AH69" s="57"/>
      <c r="AI69" s="59"/>
      <c r="AJ69" s="57"/>
      <c r="AL69" s="60"/>
      <c r="AM69" s="57"/>
      <c r="AN69" s="59"/>
      <c r="AO69" s="57"/>
      <c r="AQ69" s="60"/>
      <c r="AR69" s="57"/>
      <c r="AS69" s="59"/>
      <c r="AT69" s="57"/>
      <c r="AV69" s="60"/>
      <c r="AW69" s="57"/>
      <c r="AX69" s="59"/>
      <c r="AY69" s="57"/>
      <c r="BA69" s="60"/>
      <c r="BB69" s="57"/>
      <c r="BC69" s="59"/>
      <c r="BD69" s="57"/>
      <c r="BF69" s="60"/>
      <c r="BG69" s="57"/>
      <c r="BH69" s="59"/>
      <c r="BI69" s="57"/>
      <c r="BK69" s="60"/>
      <c r="BL69" s="57"/>
      <c r="BM69" s="59"/>
      <c r="BN69" s="57"/>
      <c r="BP69" s="60"/>
      <c r="BQ69" s="57"/>
      <c r="BR69" s="59"/>
      <c r="BS69" s="57"/>
      <c r="BU69" s="60"/>
      <c r="BV69" s="57"/>
      <c r="BW69" s="59"/>
      <c r="BX69" s="57"/>
      <c r="BZ69" s="60"/>
      <c r="CA69" s="57"/>
      <c r="CB69" s="59"/>
      <c r="CC69" s="57"/>
      <c r="CE69" s="60"/>
      <c r="CF69" s="57"/>
      <c r="CG69" s="59"/>
      <c r="CH69" s="57"/>
    </row>
    <row r="70" spans="8:86" x14ac:dyDescent="0.2">
      <c r="H70" s="72">
        <f t="shared" ref="H70:H75" si="42">X4</f>
        <v>8.4953703703703701E-3</v>
      </c>
      <c r="L70" s="44"/>
      <c r="N70" s="57"/>
      <c r="O70" s="59"/>
      <c r="P70" s="57"/>
      <c r="Q70" s="115"/>
      <c r="R70" s="60"/>
      <c r="S70" s="57"/>
      <c r="T70" s="59"/>
      <c r="U70" s="57"/>
      <c r="W70" s="60"/>
      <c r="X70" s="57"/>
      <c r="Y70" s="59"/>
      <c r="Z70" s="57"/>
      <c r="AB70" s="60"/>
      <c r="AC70" s="57"/>
      <c r="AD70" s="59"/>
      <c r="AE70" s="57"/>
      <c r="AH70" s="57"/>
      <c r="AI70" s="59"/>
      <c r="AJ70" s="57"/>
      <c r="AL70" s="60"/>
      <c r="AM70" s="57"/>
      <c r="AN70" s="59"/>
      <c r="AO70" s="57"/>
      <c r="AQ70" s="60"/>
      <c r="AR70" s="57"/>
      <c r="AS70" s="59"/>
      <c r="AT70" s="57"/>
      <c r="AV70" s="60"/>
      <c r="AW70" s="57"/>
      <c r="AX70" s="59"/>
      <c r="AY70" s="57"/>
      <c r="BA70" s="60"/>
      <c r="BB70" s="57"/>
      <c r="BC70" s="59"/>
      <c r="BD70" s="57"/>
      <c r="BF70" s="60"/>
      <c r="BG70" s="57"/>
      <c r="BH70" s="59"/>
      <c r="BI70" s="57"/>
      <c r="BK70" s="60"/>
      <c r="BL70" s="57"/>
      <c r="BM70" s="59"/>
      <c r="BN70" s="57"/>
      <c r="BP70" s="60"/>
      <c r="BQ70" s="57"/>
      <c r="BR70" s="59"/>
      <c r="BS70" s="57"/>
      <c r="BU70" s="60"/>
      <c r="BV70" s="57"/>
      <c r="BW70" s="59"/>
      <c r="BX70" s="57"/>
      <c r="BZ70" s="60"/>
      <c r="CA70" s="57"/>
      <c r="CB70" s="59"/>
      <c r="CC70" s="57"/>
      <c r="CE70" s="60"/>
      <c r="CF70" s="57"/>
      <c r="CG70" s="59"/>
      <c r="CH70" s="57"/>
    </row>
    <row r="71" spans="8:86" x14ac:dyDescent="0.2">
      <c r="H71" s="72">
        <f t="shared" si="42"/>
        <v>8.8773148148148153E-3</v>
      </c>
      <c r="L71" s="44"/>
      <c r="N71" s="57"/>
      <c r="O71" s="59"/>
      <c r="P71" s="57"/>
      <c r="Q71" s="115"/>
      <c r="R71" s="60"/>
      <c r="S71" s="57"/>
      <c r="T71" s="59"/>
      <c r="U71" s="57"/>
      <c r="W71" s="60"/>
      <c r="X71" s="57"/>
      <c r="Y71" s="59"/>
      <c r="Z71" s="57"/>
      <c r="AB71" s="60"/>
      <c r="AC71" s="57"/>
      <c r="AD71" s="59"/>
      <c r="AE71" s="57"/>
      <c r="AH71" s="57"/>
      <c r="AI71" s="59"/>
      <c r="AJ71" s="57"/>
      <c r="AL71" s="60"/>
      <c r="AM71" s="57"/>
      <c r="AN71" s="59"/>
      <c r="AO71" s="57"/>
      <c r="AQ71" s="60"/>
      <c r="AR71" s="57"/>
      <c r="AS71" s="59"/>
      <c r="AT71" s="57"/>
      <c r="AV71" s="60"/>
      <c r="AW71" s="57"/>
      <c r="AX71" s="59"/>
      <c r="AY71" s="57"/>
      <c r="BA71" s="60"/>
      <c r="BB71" s="57"/>
      <c r="BC71" s="59"/>
      <c r="BD71" s="57"/>
      <c r="BF71" s="60"/>
      <c r="BG71" s="57"/>
      <c r="BH71" s="59"/>
      <c r="BI71" s="57"/>
      <c r="BK71" s="60"/>
      <c r="BL71" s="57"/>
      <c r="BM71" s="59"/>
      <c r="BN71" s="57"/>
      <c r="BP71" s="60"/>
      <c r="BQ71" s="57"/>
      <c r="BR71" s="59"/>
      <c r="BS71" s="57"/>
      <c r="BU71" s="60"/>
      <c r="BV71" s="57"/>
      <c r="BW71" s="59"/>
      <c r="BX71" s="57"/>
      <c r="BZ71" s="60"/>
      <c r="CA71" s="57"/>
      <c r="CB71" s="59"/>
      <c r="CC71" s="57"/>
      <c r="CE71" s="60"/>
      <c r="CF71" s="57"/>
      <c r="CG71" s="59"/>
      <c r="CH71" s="57"/>
    </row>
    <row r="72" spans="8:86" x14ac:dyDescent="0.2">
      <c r="H72" s="72">
        <f t="shared" si="42"/>
        <v>8.4143518518518517E-3</v>
      </c>
      <c r="L72" s="44"/>
      <c r="N72" s="57"/>
      <c r="O72" s="59"/>
      <c r="P72" s="57"/>
      <c r="Q72" s="115"/>
      <c r="R72" s="60"/>
      <c r="S72" s="57"/>
      <c r="T72" s="59"/>
      <c r="U72" s="57"/>
      <c r="W72" s="60"/>
      <c r="X72" s="57"/>
      <c r="Y72" s="59"/>
      <c r="Z72" s="57"/>
      <c r="AB72" s="60"/>
      <c r="AC72" s="57"/>
      <c r="AD72" s="59"/>
      <c r="AE72" s="57"/>
      <c r="AH72" s="57"/>
      <c r="AI72" s="59"/>
      <c r="AJ72" s="57"/>
      <c r="AL72" s="60"/>
      <c r="AM72" s="57"/>
      <c r="AN72" s="59"/>
      <c r="AO72" s="57"/>
      <c r="AQ72" s="60"/>
      <c r="AR72" s="57"/>
      <c r="AS72" s="59"/>
      <c r="AT72" s="57"/>
      <c r="AV72" s="60"/>
      <c r="AW72" s="57"/>
      <c r="AX72" s="59"/>
      <c r="AY72" s="57"/>
      <c r="BA72" s="60"/>
      <c r="BB72" s="57"/>
      <c r="BC72" s="59"/>
      <c r="BD72" s="57"/>
      <c r="BF72" s="60"/>
      <c r="BG72" s="57"/>
      <c r="BH72" s="59"/>
      <c r="BI72" s="57"/>
      <c r="BK72" s="60"/>
      <c r="BL72" s="57"/>
      <c r="BM72" s="59"/>
      <c r="BN72" s="57"/>
      <c r="BP72" s="60"/>
      <c r="BQ72" s="57"/>
      <c r="BR72" s="59"/>
      <c r="BS72" s="57"/>
      <c r="BU72" s="60"/>
      <c r="BV72" s="57"/>
      <c r="BW72" s="59"/>
      <c r="BX72" s="57"/>
      <c r="BZ72" s="60"/>
      <c r="CA72" s="57"/>
      <c r="CB72" s="59"/>
      <c r="CC72" s="57"/>
      <c r="CE72" s="60"/>
      <c r="CF72" s="57"/>
      <c r="CG72" s="59"/>
      <c r="CH72" s="57"/>
    </row>
    <row r="73" spans="8:86" x14ac:dyDescent="0.2">
      <c r="H73" s="72">
        <f t="shared" si="42"/>
        <v>8.9236111111111113E-3</v>
      </c>
      <c r="L73" s="44"/>
      <c r="N73" s="57"/>
      <c r="O73" s="59"/>
      <c r="P73" s="57"/>
      <c r="Q73" s="115"/>
      <c r="R73" s="60"/>
      <c r="S73" s="57"/>
      <c r="T73" s="59"/>
      <c r="U73" s="57"/>
      <c r="W73" s="60"/>
      <c r="X73" s="57"/>
      <c r="Y73" s="59"/>
      <c r="Z73" s="57"/>
      <c r="AB73" s="60"/>
      <c r="AC73" s="57"/>
      <c r="AD73" s="59"/>
      <c r="AE73" s="57"/>
      <c r="AH73" s="57"/>
      <c r="AI73" s="59"/>
      <c r="AJ73" s="57"/>
      <c r="AL73" s="60"/>
      <c r="AM73" s="57"/>
      <c r="AN73" s="59"/>
      <c r="AO73" s="57"/>
      <c r="AQ73" s="60"/>
      <c r="AR73" s="57"/>
      <c r="AS73" s="59"/>
      <c r="AT73" s="57"/>
      <c r="AV73" s="60"/>
      <c r="AW73" s="57"/>
      <c r="AX73" s="59"/>
      <c r="AY73" s="57"/>
      <c r="BA73" s="60"/>
      <c r="BB73" s="57"/>
      <c r="BC73" s="59"/>
      <c r="BD73" s="57"/>
      <c r="BF73" s="60"/>
      <c r="BG73" s="57"/>
      <c r="BH73" s="59"/>
      <c r="BI73" s="57"/>
      <c r="BK73" s="60"/>
      <c r="BL73" s="57"/>
      <c r="BM73" s="59"/>
      <c r="BN73" s="57"/>
      <c r="BP73" s="60"/>
      <c r="BQ73" s="57"/>
      <c r="BR73" s="59"/>
      <c r="BS73" s="57"/>
      <c r="BU73" s="60"/>
      <c r="BV73" s="57"/>
      <c r="BW73" s="59"/>
      <c r="BX73" s="57"/>
      <c r="BZ73" s="60"/>
      <c r="CA73" s="57"/>
      <c r="CB73" s="59"/>
      <c r="CC73" s="57"/>
      <c r="CE73" s="60"/>
      <c r="CF73" s="57"/>
      <c r="CG73" s="59"/>
      <c r="CH73" s="57"/>
    </row>
    <row r="74" spans="8:86" x14ac:dyDescent="0.2">
      <c r="H74" s="72">
        <f t="shared" si="42"/>
        <v>8.773148148148148E-3</v>
      </c>
      <c r="L74" s="44"/>
      <c r="N74" s="57"/>
      <c r="O74" s="59"/>
      <c r="P74" s="57"/>
      <c r="Q74" s="115"/>
      <c r="R74" s="60"/>
      <c r="S74" s="57"/>
      <c r="T74" s="59"/>
      <c r="U74" s="57"/>
      <c r="W74" s="60"/>
      <c r="X74" s="57"/>
      <c r="Y74" s="59"/>
      <c r="Z74" s="57"/>
      <c r="AB74" s="60"/>
      <c r="AC74" s="57"/>
      <c r="AD74" s="59"/>
      <c r="AE74" s="57"/>
      <c r="AH74" s="57"/>
      <c r="AI74" s="59"/>
      <c r="AJ74" s="57"/>
      <c r="AL74" s="60"/>
      <c r="AM74" s="57"/>
      <c r="AN74" s="59"/>
      <c r="AO74" s="57"/>
      <c r="AQ74" s="60"/>
      <c r="AR74" s="57"/>
      <c r="AS74" s="59"/>
      <c r="AT74" s="57"/>
      <c r="AV74" s="60"/>
      <c r="AW74" s="57"/>
      <c r="AX74" s="59"/>
      <c r="AY74" s="57"/>
      <c r="BA74" s="60"/>
      <c r="BB74" s="57"/>
      <c r="BC74" s="59"/>
      <c r="BD74" s="57"/>
      <c r="BF74" s="60"/>
      <c r="BG74" s="57"/>
      <c r="BH74" s="59"/>
      <c r="BI74" s="57"/>
      <c r="BK74" s="60"/>
      <c r="BL74" s="57"/>
      <c r="BM74" s="59"/>
      <c r="BN74" s="57"/>
      <c r="BP74" s="60"/>
      <c r="BQ74" s="57"/>
      <c r="BR74" s="59"/>
      <c r="BS74" s="57"/>
      <c r="BU74" s="60"/>
      <c r="BV74" s="57"/>
      <c r="BW74" s="59"/>
      <c r="BX74" s="57"/>
      <c r="BZ74" s="60"/>
      <c r="CA74" s="57"/>
      <c r="CB74" s="59"/>
      <c r="CC74" s="57"/>
      <c r="CE74" s="60"/>
      <c r="CF74" s="57"/>
      <c r="CG74" s="59"/>
      <c r="CH74" s="57"/>
    </row>
    <row r="75" spans="8:86" x14ac:dyDescent="0.2">
      <c r="H75" s="72">
        <f t="shared" si="42"/>
        <v>8.9583333333333338E-3</v>
      </c>
      <c r="L75" s="44"/>
      <c r="N75" s="57"/>
      <c r="O75" s="59"/>
      <c r="P75" s="57"/>
      <c r="Q75" s="115"/>
      <c r="R75" s="60"/>
      <c r="S75" s="57"/>
      <c r="T75" s="59"/>
      <c r="U75" s="57"/>
      <c r="W75" s="60"/>
      <c r="X75" s="57"/>
      <c r="Y75" s="59"/>
      <c r="Z75" s="57"/>
      <c r="AB75" s="60"/>
      <c r="AC75" s="57"/>
      <c r="AD75" s="59"/>
      <c r="AE75" s="57"/>
      <c r="AH75" s="57"/>
      <c r="AI75" s="59"/>
      <c r="AJ75" s="57"/>
      <c r="AL75" s="60"/>
      <c r="AM75" s="57"/>
      <c r="AN75" s="59"/>
      <c r="AO75" s="57"/>
      <c r="AQ75" s="60"/>
      <c r="AR75" s="57"/>
      <c r="AS75" s="59"/>
      <c r="AT75" s="57"/>
      <c r="AV75" s="60"/>
      <c r="AW75" s="57"/>
      <c r="AX75" s="59"/>
      <c r="AY75" s="57"/>
      <c r="BA75" s="60"/>
      <c r="BB75" s="57"/>
      <c r="BC75" s="59"/>
      <c r="BD75" s="57"/>
      <c r="BF75" s="60"/>
      <c r="BG75" s="57"/>
      <c r="BH75" s="59"/>
      <c r="BI75" s="57"/>
      <c r="BK75" s="60"/>
      <c r="BL75" s="57"/>
      <c r="BM75" s="59"/>
      <c r="BN75" s="57"/>
      <c r="BP75" s="60"/>
      <c r="BQ75" s="57"/>
      <c r="BR75" s="59"/>
      <c r="BS75" s="57"/>
      <c r="BU75" s="60"/>
      <c r="BV75" s="57"/>
      <c r="BW75" s="59"/>
      <c r="BX75" s="57"/>
      <c r="BZ75" s="60"/>
      <c r="CA75" s="57"/>
      <c r="CB75" s="59"/>
      <c r="CC75" s="57"/>
      <c r="CE75" s="60"/>
      <c r="CF75" s="57"/>
      <c r="CG75" s="59"/>
      <c r="CH75" s="57"/>
    </row>
    <row r="76" spans="8:86" x14ac:dyDescent="0.2">
      <c r="H76" s="60"/>
    </row>
    <row r="77" spans="8:86" x14ac:dyDescent="0.2">
      <c r="H77" s="60"/>
    </row>
    <row r="78" spans="8:86" x14ac:dyDescent="0.2">
      <c r="H78" s="60"/>
    </row>
    <row r="79" spans="8:86" x14ac:dyDescent="0.2">
      <c r="H79" s="60"/>
    </row>
    <row r="80" spans="8:86" x14ac:dyDescent="0.2">
      <c r="H80" s="60"/>
    </row>
    <row r="81" spans="8:8" x14ac:dyDescent="0.2">
      <c r="H81" s="60"/>
    </row>
    <row r="82" spans="8:8" x14ac:dyDescent="0.2">
      <c r="H82" s="60"/>
    </row>
    <row r="83" spans="8:8" x14ac:dyDescent="0.2">
      <c r="H83" s="60"/>
    </row>
    <row r="84" spans="8:8" x14ac:dyDescent="0.2">
      <c r="H84" s="60"/>
    </row>
  </sheetData>
  <phoneticPr fontId="0" type="noConversion"/>
  <dataValidations count="6">
    <dataValidation type="list" allowBlank="1" showInputMessage="1" showErrorMessage="1" sqref="AL13 M13 AL4 W4 H13 AQ13 R13 AB4 M4 AB13 R4 AG4 H4 W13 AQ4 AG13">
      <formula1>$B$23:$E$23</formula1>
    </dataValidation>
    <dataValidation type="list" allowBlank="1" showInputMessage="1" showErrorMessage="1" sqref="AQ14 M14 AL5 W5 AL14 AB5 H14 M5 R5 AB14 AQ5 AG5 H5 R14 W14 AG14">
      <formula1>$B$24:$E$24</formula1>
    </dataValidation>
    <dataValidation type="list" allowBlank="1" showInputMessage="1" showErrorMessage="1" sqref="AG15 M15 AL6 W6 AQ15 AB6 H15 M6 AB15 AL15 R6 AQ6 R15 AG6 W15 H6">
      <formula1>$B$25:$E$25</formula1>
    </dataValidation>
    <dataValidation type="list" allowBlank="1" showInputMessage="1" showErrorMessage="1" sqref="H16 M16 R16 W16 AB16 AG16 AL16 AQ16 AQ7 AL7 AG7 AB7 W7 R7 M7 H7">
      <formula1>$B$26:$E$26</formula1>
    </dataValidation>
    <dataValidation type="list" allowBlank="1" showInputMessage="1" showErrorMessage="1" sqref="H17 M17 R17 W17 AB17 AG17 AL17 AQ17 AQ8 AL8 AG8 AB8 W8 R8 M8 H8">
      <formula1>$B$27:$E$27</formula1>
    </dataValidation>
    <dataValidation type="list" allowBlank="1" showInputMessage="1" showErrorMessage="1" sqref="H18 M18 R18 W18 AB18 AG18 AL18 AQ18 AQ9 AL9 AG9 AB9 W9 R9 M9 H9">
      <formula1>$B$28:$E$28</formula1>
    </dataValidation>
  </dataValidations>
  <pageMargins left="0.36" right="0.59" top="1" bottom="1" header="0.5" footer="0.5"/>
  <pageSetup paperSize="9" scale="32" orientation="landscape" horizontalDpi="300" verticalDpi="300" r:id="rId1"/>
  <headerFooter alignWithMargins="0"/>
  <ignoredErrors>
    <ignoredError sqref="H52 H53:H57 H70:H75 H64:H69 H58:H6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BO17"/>
  <sheetViews>
    <sheetView showZeros="0" zoomScale="85" zoomScaleNormal="85" workbookViewId="0">
      <pane xSplit="1" topLeftCell="Z1" activePane="topRight" state="frozen"/>
      <selection pane="topRight"/>
    </sheetView>
  </sheetViews>
  <sheetFormatPr defaultRowHeight="12.75" x14ac:dyDescent="0.2"/>
  <cols>
    <col min="1" max="1" width="24.140625" style="32" customWidth="1"/>
    <col min="2" max="2" width="14.85546875" style="90" bestFit="1" customWidth="1"/>
    <col min="3" max="3" width="6.7109375" style="32" customWidth="1"/>
    <col min="4" max="4" width="11.42578125" style="32" customWidth="1"/>
    <col min="5" max="5" width="15.7109375" style="148" customWidth="1"/>
    <col min="6" max="6" width="6.7109375" style="149" customWidth="1"/>
    <col min="7" max="7" width="12.7109375" style="149" bestFit="1" customWidth="1"/>
    <col min="8" max="8" width="15.7109375" style="148" customWidth="1"/>
    <col min="9" max="9" width="6.7109375" style="149" customWidth="1"/>
    <col min="10" max="10" width="12.7109375" style="149" bestFit="1" customWidth="1"/>
    <col min="11" max="11" width="15.7109375" style="90" customWidth="1"/>
    <col min="12" max="12" width="6.7109375" style="32" customWidth="1"/>
    <col min="13" max="13" width="11" style="32" bestFit="1" customWidth="1"/>
    <col min="14" max="14" width="15.7109375" style="90" customWidth="1"/>
    <col min="15" max="15" width="6.7109375" style="32" customWidth="1"/>
    <col min="16" max="16" width="11" style="32" bestFit="1" customWidth="1"/>
    <col min="17" max="17" width="15.7109375" style="90" customWidth="1"/>
    <col min="18" max="18" width="6.7109375" style="32" customWidth="1"/>
    <col min="19" max="19" width="11" style="32" bestFit="1" customWidth="1"/>
    <col min="20" max="20" width="15.7109375" style="90" customWidth="1"/>
    <col min="21" max="21" width="6.7109375" style="32" customWidth="1"/>
    <col min="22" max="22" width="11" style="32" bestFit="1" customWidth="1"/>
    <col min="23" max="23" width="15.7109375" style="90" customWidth="1"/>
    <col min="24" max="24" width="6.7109375" style="32" customWidth="1"/>
    <col min="25" max="25" width="11" style="32" bestFit="1" customWidth="1"/>
    <col min="26" max="26" width="15.140625" style="90" bestFit="1" customWidth="1"/>
    <col min="27" max="27" width="6.7109375" style="32" customWidth="1"/>
    <col min="28" max="28" width="11" style="32" bestFit="1" customWidth="1"/>
    <col min="29" max="29" width="15.7109375" style="90" customWidth="1"/>
    <col min="30" max="30" width="6.7109375" style="32" customWidth="1"/>
    <col min="31" max="31" width="11" style="32" bestFit="1" customWidth="1"/>
    <col min="32" max="32" width="15.7109375" style="90" customWidth="1"/>
    <col min="33" max="33" width="6.7109375" style="32" customWidth="1"/>
    <col min="34" max="34" width="11" style="32" bestFit="1" customWidth="1"/>
    <col min="35" max="35" width="15.7109375" style="90" customWidth="1"/>
    <col min="36" max="36" width="6.7109375" style="32" customWidth="1"/>
    <col min="37" max="37" width="11" style="32" bestFit="1" customWidth="1"/>
    <col min="38" max="38" width="15.7109375" style="90" customWidth="1"/>
    <col min="39" max="39" width="6.7109375" style="32" customWidth="1"/>
    <col min="40" max="40" width="11" style="32" bestFit="1" customWidth="1"/>
    <col min="41" max="41" width="15.7109375" style="90" customWidth="1"/>
    <col min="42" max="42" width="6.7109375" style="32" customWidth="1"/>
    <col min="43" max="43" width="11" style="32" bestFit="1" customWidth="1"/>
    <col min="44" max="44" width="15.7109375" style="90" customWidth="1"/>
    <col min="45" max="45" width="6.7109375" style="32" customWidth="1"/>
    <col min="46" max="46" width="11" style="32" bestFit="1" customWidth="1"/>
    <col min="47" max="47" width="15.7109375" style="90" customWidth="1"/>
    <col min="48" max="48" width="6.7109375" style="32" customWidth="1"/>
    <col min="49" max="49" width="11" style="32" bestFit="1" customWidth="1"/>
    <col min="50" max="50" width="52.140625" style="107" customWidth="1"/>
    <col min="51" max="51" width="16" style="107" customWidth="1"/>
    <col min="52" max="67" width="9.140625" style="107"/>
    <col min="68" max="16384" width="9.140625" style="32"/>
  </cols>
  <sheetData>
    <row r="2" spans="1:67" x14ac:dyDescent="0.2">
      <c r="B2" s="98" t="s">
        <v>5</v>
      </c>
      <c r="C2" s="99"/>
      <c r="D2" s="100"/>
      <c r="E2" s="139" t="s">
        <v>12</v>
      </c>
      <c r="F2" s="140"/>
      <c r="G2" s="141"/>
      <c r="H2" s="98" t="s">
        <v>13</v>
      </c>
      <c r="I2" s="99"/>
      <c r="J2" s="100"/>
      <c r="K2" s="98" t="s">
        <v>14</v>
      </c>
      <c r="L2" s="99"/>
      <c r="M2" s="100"/>
      <c r="N2" s="98" t="s">
        <v>15</v>
      </c>
      <c r="O2" s="99"/>
      <c r="P2" s="100"/>
      <c r="Q2" s="98" t="s">
        <v>16</v>
      </c>
      <c r="R2" s="99"/>
      <c r="S2" s="100"/>
      <c r="T2" s="98" t="s">
        <v>17</v>
      </c>
      <c r="U2" s="99"/>
      <c r="V2" s="100"/>
      <c r="W2" s="98" t="s">
        <v>18</v>
      </c>
      <c r="X2" s="99"/>
      <c r="Y2" s="100"/>
      <c r="Z2" s="98" t="s">
        <v>21</v>
      </c>
      <c r="AA2" s="99"/>
      <c r="AB2" s="100"/>
      <c r="AC2" s="98" t="s">
        <v>22</v>
      </c>
      <c r="AD2" s="99"/>
      <c r="AE2" s="100"/>
      <c r="AF2" s="98" t="s">
        <v>23</v>
      </c>
      <c r="AG2" s="99"/>
      <c r="AH2" s="100"/>
      <c r="AI2" s="98" t="s">
        <v>24</v>
      </c>
      <c r="AJ2" s="99"/>
      <c r="AK2" s="100"/>
      <c r="AL2" s="98" t="s">
        <v>25</v>
      </c>
      <c r="AM2" s="99"/>
      <c r="AN2" s="100"/>
      <c r="AO2" s="98" t="s">
        <v>26</v>
      </c>
      <c r="AP2" s="99"/>
      <c r="AQ2" s="100"/>
      <c r="AR2" s="98" t="s">
        <v>49</v>
      </c>
      <c r="AS2" s="99"/>
      <c r="AT2" s="100"/>
      <c r="AU2" s="98" t="s">
        <v>50</v>
      </c>
      <c r="AV2" s="99"/>
      <c r="AW2" s="100"/>
    </row>
    <row r="3" spans="1:67" s="34" customFormat="1" ht="20.100000000000001" customHeight="1" x14ac:dyDescent="0.2">
      <c r="A3" s="91" t="s">
        <v>0</v>
      </c>
      <c r="B3" s="92" t="s">
        <v>6</v>
      </c>
      <c r="C3" s="93" t="s">
        <v>7</v>
      </c>
      <c r="D3" s="94" t="s">
        <v>41</v>
      </c>
      <c r="E3" s="142" t="s">
        <v>6</v>
      </c>
      <c r="F3" s="143" t="s">
        <v>7</v>
      </c>
      <c r="G3" s="144" t="s">
        <v>41</v>
      </c>
      <c r="H3" s="142" t="s">
        <v>6</v>
      </c>
      <c r="I3" s="143" t="s">
        <v>7</v>
      </c>
      <c r="J3" s="144" t="s">
        <v>41</v>
      </c>
      <c r="K3" s="95" t="s">
        <v>6</v>
      </c>
      <c r="L3" s="96" t="s">
        <v>7</v>
      </c>
      <c r="M3" s="97" t="s">
        <v>41</v>
      </c>
      <c r="N3" s="95" t="s">
        <v>6</v>
      </c>
      <c r="O3" s="96" t="s">
        <v>7</v>
      </c>
      <c r="P3" s="97" t="s">
        <v>41</v>
      </c>
      <c r="Q3" s="95" t="s">
        <v>6</v>
      </c>
      <c r="R3" s="96" t="s">
        <v>7</v>
      </c>
      <c r="S3" s="97" t="s">
        <v>41</v>
      </c>
      <c r="T3" s="95" t="s">
        <v>6</v>
      </c>
      <c r="U3" s="96" t="s">
        <v>7</v>
      </c>
      <c r="V3" s="97" t="s">
        <v>41</v>
      </c>
      <c r="W3" s="95" t="s">
        <v>6</v>
      </c>
      <c r="X3" s="96" t="s">
        <v>7</v>
      </c>
      <c r="Y3" s="97" t="s">
        <v>41</v>
      </c>
      <c r="Z3" s="95" t="s">
        <v>6</v>
      </c>
      <c r="AA3" s="96" t="s">
        <v>7</v>
      </c>
      <c r="AB3" s="97" t="s">
        <v>41</v>
      </c>
      <c r="AC3" s="95" t="s">
        <v>6</v>
      </c>
      <c r="AD3" s="96" t="s">
        <v>7</v>
      </c>
      <c r="AE3" s="97" t="s">
        <v>41</v>
      </c>
      <c r="AF3" s="95" t="s">
        <v>6</v>
      </c>
      <c r="AG3" s="96" t="s">
        <v>7</v>
      </c>
      <c r="AH3" s="97" t="s">
        <v>41</v>
      </c>
      <c r="AI3" s="95" t="s">
        <v>6</v>
      </c>
      <c r="AJ3" s="96" t="s">
        <v>7</v>
      </c>
      <c r="AK3" s="97" t="s">
        <v>41</v>
      </c>
      <c r="AL3" s="95" t="s">
        <v>6</v>
      </c>
      <c r="AM3" s="96" t="s">
        <v>7</v>
      </c>
      <c r="AN3" s="97" t="s">
        <v>41</v>
      </c>
      <c r="AO3" s="95" t="s">
        <v>6</v>
      </c>
      <c r="AP3" s="96" t="s">
        <v>7</v>
      </c>
      <c r="AQ3" s="97" t="s">
        <v>41</v>
      </c>
      <c r="AR3" s="95" t="s">
        <v>6</v>
      </c>
      <c r="AS3" s="96" t="s">
        <v>7</v>
      </c>
      <c r="AT3" s="97" t="s">
        <v>41</v>
      </c>
      <c r="AU3" s="95" t="s">
        <v>6</v>
      </c>
      <c r="AV3" s="96" t="s">
        <v>7</v>
      </c>
      <c r="AW3" s="97" t="s">
        <v>41</v>
      </c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s="34" customFormat="1" ht="20.100000000000001" customHeight="1" x14ac:dyDescent="0.2">
      <c r="A4" s="86" t="str">
        <f>'Team Selection'!B3</f>
        <v>Purple Rain</v>
      </c>
      <c r="B4" s="87" t="str">
        <f>'Stage Entry'!H4</f>
        <v>Thai Phan</v>
      </c>
      <c r="C4" s="88">
        <f>'Stage Entry'!I4</f>
        <v>9.2361111111111116E-3</v>
      </c>
      <c r="D4" s="89">
        <f t="shared" ref="D4:D9" si="0">C4</f>
        <v>9.2361111111111116E-3</v>
      </c>
      <c r="E4" s="87" t="str">
        <f>'Stage Entry'!M4</f>
        <v>Norval Hope</v>
      </c>
      <c r="F4" s="88">
        <f>'Stage Entry'!N4</f>
        <v>9.5601851851851855E-3</v>
      </c>
      <c r="G4" s="89">
        <f t="shared" ref="G4:G9" si="1">D4+F4</f>
        <v>1.8796296296296297E-2</v>
      </c>
      <c r="H4" s="87" t="str">
        <f>'Stage Entry'!R4</f>
        <v>David Burnheim</v>
      </c>
      <c r="I4" s="88">
        <f>'Stage Entry'!S4</f>
        <v>1.0902777777777777E-2</v>
      </c>
      <c r="J4" s="89">
        <f t="shared" ref="J4:J9" si="2">G4+I4</f>
        <v>2.9699074074074072E-2</v>
      </c>
      <c r="K4" s="87" t="str">
        <f>'Stage Entry'!W4</f>
        <v>Simon Bevege</v>
      </c>
      <c r="L4" s="88">
        <f>'Stage Entry'!X4</f>
        <v>8.4953703703703701E-3</v>
      </c>
      <c r="M4" s="89">
        <f t="shared" ref="M4:M9" si="3">J4+L4</f>
        <v>3.8194444444444441E-2</v>
      </c>
      <c r="N4" s="87" t="str">
        <f>'Stage Entry'!AB4</f>
        <v>Thai Phan</v>
      </c>
      <c r="O4" s="88">
        <f>'Stage Entry'!AC4</f>
        <v>1.2210648148148146E-2</v>
      </c>
      <c r="P4" s="89">
        <f t="shared" ref="P4:P9" si="4">M4+O4</f>
        <v>5.0405092592592585E-2</v>
      </c>
      <c r="Q4" s="87" t="str">
        <f>'Stage Entry'!AG4</f>
        <v>Norval Hope</v>
      </c>
      <c r="R4" s="88">
        <f>'Stage Entry'!AH4</f>
        <v>1.1203703703703704E-2</v>
      </c>
      <c r="S4" s="89">
        <f t="shared" ref="S4:S9" si="5">P4+R4</f>
        <v>6.1608796296296287E-2</v>
      </c>
      <c r="T4" s="87" t="str">
        <f>'Stage Entry'!AL4</f>
        <v>David Burnheim</v>
      </c>
      <c r="U4" s="88">
        <f>'Stage Entry'!AM4</f>
        <v>8.3680555555555557E-3</v>
      </c>
      <c r="V4" s="89">
        <f t="shared" ref="V4:V9" si="6">S4+U4</f>
        <v>6.9976851851851846E-2</v>
      </c>
      <c r="W4" s="87" t="str">
        <f>'Stage Entry'!AQ4</f>
        <v>Simon Bevege</v>
      </c>
      <c r="X4" s="88">
        <f>'Stage Entry'!AR4</f>
        <v>1.3275462962962963E-2</v>
      </c>
      <c r="Y4" s="89">
        <f t="shared" ref="Y4:Y9" si="7">V4+X4</f>
        <v>8.3252314814814807E-2</v>
      </c>
      <c r="Z4" s="87" t="str">
        <f>'Stage Entry'!H13</f>
        <v>Norval Hope</v>
      </c>
      <c r="AA4" s="88">
        <f>'Stage Entry'!I13</f>
        <v>1.1331018518518518E-2</v>
      </c>
      <c r="AB4" s="89">
        <f t="shared" ref="AB4:AB9" si="8">Y4+AA4</f>
        <v>9.4583333333333325E-2</v>
      </c>
      <c r="AC4" s="87" t="str">
        <f>'Stage Entry'!M13</f>
        <v>David Burnheim</v>
      </c>
      <c r="AD4" s="88">
        <f>'Stage Entry'!N13</f>
        <v>1.2858796296296297E-2</v>
      </c>
      <c r="AE4" s="89">
        <f t="shared" ref="AE4:AE9" si="9">AB4+AD4</f>
        <v>0.10744212962962962</v>
      </c>
      <c r="AF4" s="87" t="str">
        <f>'Stage Entry'!R13</f>
        <v>Simon Bevege</v>
      </c>
      <c r="AG4" s="88">
        <f>'Stage Entry'!S13</f>
        <v>1.3564814814814816E-2</v>
      </c>
      <c r="AH4" s="89">
        <f t="shared" ref="AH4:AH9" si="10">AE4+AG4</f>
        <v>0.12100694444444444</v>
      </c>
      <c r="AI4" s="87" t="str">
        <f>'Stage Entry'!W13</f>
        <v>Thai Phan</v>
      </c>
      <c r="AJ4" s="88">
        <f>'Stage Entry'!X13</f>
        <v>1.2893518518518519E-2</v>
      </c>
      <c r="AK4" s="89">
        <f t="shared" ref="AK4:AK9" si="11">AH4+AJ4</f>
        <v>0.13390046296296296</v>
      </c>
      <c r="AL4" s="87" t="str">
        <f>'Stage Entry'!AB13</f>
        <v>Simon Bevege</v>
      </c>
      <c r="AM4" s="88">
        <f>'Stage Entry'!AC13</f>
        <v>1.2048611111111112E-2</v>
      </c>
      <c r="AN4" s="89">
        <f t="shared" ref="AN4:AN9" si="12">AK4+AM4</f>
        <v>0.14594907407407406</v>
      </c>
      <c r="AO4" s="87" t="str">
        <f>'Stage Entry'!AG13</f>
        <v>Norval Hope</v>
      </c>
      <c r="AP4" s="88">
        <f>'Stage Entry'!AH13</f>
        <v>1.1597222222222222E-2</v>
      </c>
      <c r="AQ4" s="89">
        <f t="shared" ref="AQ4:AQ9" si="13">AN4+AP4</f>
        <v>0.1575462962962963</v>
      </c>
      <c r="AR4" s="87" t="str">
        <f>'Stage Entry'!AL13</f>
        <v>Thai Phan</v>
      </c>
      <c r="AS4" s="88">
        <f>'Stage Entry'!AM13</f>
        <v>1.1377314814814814E-2</v>
      </c>
      <c r="AT4" s="89">
        <f t="shared" ref="AT4:AT9" si="14">AQ4+AS4</f>
        <v>0.16892361111111112</v>
      </c>
      <c r="AU4" s="87" t="str">
        <f>'Stage Entry'!AQ13</f>
        <v>David Burnheim</v>
      </c>
      <c r="AV4" s="88">
        <f>'Stage Entry'!AR13</f>
        <v>1.3969907407407408E-2</v>
      </c>
      <c r="AW4" s="89">
        <f t="shared" ref="AW4:AW9" si="15">AT4+AV4</f>
        <v>0.18289351851851854</v>
      </c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</row>
    <row r="5" spans="1:67" s="34" customFormat="1" ht="20.100000000000001" customHeight="1" x14ac:dyDescent="0.2">
      <c r="A5" s="86" t="str">
        <f>'Team Selection'!B4</f>
        <v>Stodds GPS Studs</v>
      </c>
      <c r="B5" s="87" t="str">
        <f>'Stage Entry'!H5</f>
        <v>Glenn Goodman</v>
      </c>
      <c r="C5" s="88">
        <f>'Stage Entry'!I5</f>
        <v>9.2592592592592605E-3</v>
      </c>
      <c r="D5" s="89">
        <f t="shared" si="0"/>
        <v>9.2592592592592605E-3</v>
      </c>
      <c r="E5" s="87" t="str">
        <f>'Stage Entry'!M5</f>
        <v>Shane Kent</v>
      </c>
      <c r="F5" s="88">
        <f>'Stage Entry'!N5</f>
        <v>9.2013888888888892E-3</v>
      </c>
      <c r="G5" s="89">
        <f t="shared" si="1"/>
        <v>1.846064814814815E-2</v>
      </c>
      <c r="H5" s="87" t="str">
        <f>'Stage Entry'!R5</f>
        <v>Simon Walker</v>
      </c>
      <c r="I5" s="88">
        <f>'Stage Entry'!S5</f>
        <v>1.0254629629629629E-2</v>
      </c>
      <c r="J5" s="89">
        <f t="shared" si="2"/>
        <v>2.8715277777777777E-2</v>
      </c>
      <c r="K5" s="87" t="str">
        <f>'Stage Entry'!W5</f>
        <v>Mark Stodden</v>
      </c>
      <c r="L5" s="88">
        <f>'Stage Entry'!X5</f>
        <v>8.8773148148148153E-3</v>
      </c>
      <c r="M5" s="89">
        <f t="shared" si="3"/>
        <v>3.7592592592592594E-2</v>
      </c>
      <c r="N5" s="87" t="str">
        <f>'Stage Entry'!AB5</f>
        <v>Glenn Goodman</v>
      </c>
      <c r="O5" s="88">
        <f>'Stage Entry'!AC5</f>
        <v>1.2326388888888888E-2</v>
      </c>
      <c r="P5" s="89">
        <f t="shared" si="4"/>
        <v>4.9918981481481481E-2</v>
      </c>
      <c r="Q5" s="87" t="str">
        <f>'Stage Entry'!AG5</f>
        <v>Shane Kent</v>
      </c>
      <c r="R5" s="88">
        <f>'Stage Entry'!AH5</f>
        <v>1.0601851851851854E-2</v>
      </c>
      <c r="S5" s="89">
        <f t="shared" si="5"/>
        <v>6.0520833333333336E-2</v>
      </c>
      <c r="T5" s="87" t="str">
        <f>'Stage Entry'!AL5</f>
        <v>Simon Walker</v>
      </c>
      <c r="U5" s="88">
        <f>'Stage Entry'!AM5</f>
        <v>8.3564814814814804E-3</v>
      </c>
      <c r="V5" s="89">
        <f t="shared" si="6"/>
        <v>6.8877314814814822E-2</v>
      </c>
      <c r="W5" s="87" t="str">
        <f>'Stage Entry'!AQ5</f>
        <v>Mark Stodden</v>
      </c>
      <c r="X5" s="88">
        <f>'Stage Entry'!AR5</f>
        <v>1.3935185185185184E-2</v>
      </c>
      <c r="Y5" s="89">
        <f t="shared" si="7"/>
        <v>8.2812500000000011E-2</v>
      </c>
      <c r="Z5" s="87" t="str">
        <f>'Stage Entry'!H14</f>
        <v>Shane Kent</v>
      </c>
      <c r="AA5" s="88">
        <f>'Stage Entry'!I14</f>
        <v>1.0555555555555554E-2</v>
      </c>
      <c r="AB5" s="89">
        <f t="shared" si="8"/>
        <v>9.3368055555555565E-2</v>
      </c>
      <c r="AC5" s="87" t="str">
        <f>'Stage Entry'!M14</f>
        <v>Simon Walker</v>
      </c>
      <c r="AD5" s="88">
        <f>'Stage Entry'!N14</f>
        <v>1.2002314814814815E-2</v>
      </c>
      <c r="AE5" s="89">
        <f t="shared" si="9"/>
        <v>0.10537037037037038</v>
      </c>
      <c r="AF5" s="87" t="str">
        <f>'Stage Entry'!R14</f>
        <v>Mark Stodden</v>
      </c>
      <c r="AG5" s="88">
        <f>'Stage Entry'!S14</f>
        <v>1.7210648148148149E-2</v>
      </c>
      <c r="AH5" s="89">
        <f t="shared" si="10"/>
        <v>0.12258101851851852</v>
      </c>
      <c r="AI5" s="87" t="str">
        <f>'Stage Entry'!W14</f>
        <v>Glenn Goodman</v>
      </c>
      <c r="AJ5" s="88">
        <f>'Stage Entry'!X14</f>
        <v>1.230324074074074E-2</v>
      </c>
      <c r="AK5" s="89">
        <f t="shared" si="11"/>
        <v>0.13488425925925926</v>
      </c>
      <c r="AL5" s="87" t="str">
        <f>'Stage Entry'!AB14</f>
        <v>Shane Kent</v>
      </c>
      <c r="AM5" s="88">
        <f>'Stage Entry'!AC14</f>
        <v>1.2777777777777777E-2</v>
      </c>
      <c r="AN5" s="89">
        <f t="shared" si="12"/>
        <v>0.14766203703703704</v>
      </c>
      <c r="AO5" s="87" t="str">
        <f>'Stage Entry'!AG14</f>
        <v>Glenn Goodman</v>
      </c>
      <c r="AP5" s="88">
        <f>'Stage Entry'!AH14</f>
        <v>1.1064814814814814E-2</v>
      </c>
      <c r="AQ5" s="89">
        <f t="shared" si="13"/>
        <v>0.15872685185185184</v>
      </c>
      <c r="AR5" s="87" t="str">
        <f>'Stage Entry'!AL14</f>
        <v>Mark Stodden</v>
      </c>
      <c r="AS5" s="88">
        <f>'Stage Entry'!AM14</f>
        <v>1.1215277777777777E-2</v>
      </c>
      <c r="AT5" s="89">
        <f t="shared" si="14"/>
        <v>0.16994212962962962</v>
      </c>
      <c r="AU5" s="87" t="str">
        <f>'Stage Entry'!AQ14</f>
        <v>Simon Walker</v>
      </c>
      <c r="AV5" s="88">
        <f>'Stage Entry'!AR14</f>
        <v>1.091435185185185E-2</v>
      </c>
      <c r="AW5" s="89">
        <f t="shared" si="15"/>
        <v>0.18085648148148148</v>
      </c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</row>
    <row r="6" spans="1:67" s="34" customFormat="1" ht="20.100000000000001" customHeight="1" x14ac:dyDescent="0.2">
      <c r="A6" s="86" t="str">
        <f>'Team Selection'!B5</f>
        <v>Suzy's Stars</v>
      </c>
      <c r="B6" s="87" t="str">
        <f>'Stage Entry'!H6</f>
        <v>Ian Dent</v>
      </c>
      <c r="C6" s="88">
        <f>'Stage Entry'!I6</f>
        <v>9.386574074074075E-3</v>
      </c>
      <c r="D6" s="89">
        <f t="shared" si="0"/>
        <v>9.386574074074075E-3</v>
      </c>
      <c r="E6" s="87" t="str">
        <f>'Stage Entry'!M6</f>
        <v>Ewen Vowels</v>
      </c>
      <c r="F6" s="88">
        <f>'Stage Entry'!N6</f>
        <v>9.1666666666666667E-3</v>
      </c>
      <c r="G6" s="89">
        <f t="shared" si="1"/>
        <v>1.8553240740740742E-2</v>
      </c>
      <c r="H6" s="87" t="str">
        <f>'Stage Entry'!R6</f>
        <v>Nick Tobin</v>
      </c>
      <c r="I6" s="88">
        <f>'Stage Entry'!S6</f>
        <v>1.0706018518518517E-2</v>
      </c>
      <c r="J6" s="89">
        <f t="shared" si="2"/>
        <v>2.9259259259259259E-2</v>
      </c>
      <c r="K6" s="87" t="str">
        <f>'Stage Entry'!W6</f>
        <v>Richard Does</v>
      </c>
      <c r="L6" s="88">
        <f>'Stage Entry'!X6</f>
        <v>8.4143518518518517E-3</v>
      </c>
      <c r="M6" s="89">
        <f t="shared" si="3"/>
        <v>3.7673611111111109E-2</v>
      </c>
      <c r="N6" s="87" t="str">
        <f>'Stage Entry'!AB6</f>
        <v>Ian Dent</v>
      </c>
      <c r="O6" s="88">
        <f>'Stage Entry'!AC6</f>
        <v>1.2569444444444446E-2</v>
      </c>
      <c r="P6" s="89">
        <f t="shared" si="4"/>
        <v>5.0243055555555555E-2</v>
      </c>
      <c r="Q6" s="87" t="str">
        <f>'Stage Entry'!AG6</f>
        <v>Ewen Vowels</v>
      </c>
      <c r="R6" s="88">
        <f>'Stage Entry'!AH6</f>
        <v>1.0937500000000001E-2</v>
      </c>
      <c r="S6" s="89">
        <f t="shared" si="5"/>
        <v>6.1180555555555557E-2</v>
      </c>
      <c r="T6" s="87" t="str">
        <f>'Stage Entry'!AL6</f>
        <v>Nick Tobin</v>
      </c>
      <c r="U6" s="88">
        <f>'Stage Entry'!AM6</f>
        <v>8.1712962962962963E-3</v>
      </c>
      <c r="V6" s="89">
        <f t="shared" si="6"/>
        <v>6.9351851851851859E-2</v>
      </c>
      <c r="W6" s="87" t="str">
        <f>'Stage Entry'!AQ6</f>
        <v>Richard Does</v>
      </c>
      <c r="X6" s="88">
        <f>'Stage Entry'!AR6</f>
        <v>1.3321759259259261E-2</v>
      </c>
      <c r="Y6" s="89">
        <f t="shared" si="7"/>
        <v>8.2673611111111114E-2</v>
      </c>
      <c r="Z6" s="87" t="str">
        <f>'Stage Entry'!H15</f>
        <v>Ian Dent</v>
      </c>
      <c r="AA6" s="88">
        <f>'Stage Entry'!I15</f>
        <v>1.113425925925926E-2</v>
      </c>
      <c r="AB6" s="89">
        <f t="shared" si="8"/>
        <v>9.3807870370370375E-2</v>
      </c>
      <c r="AC6" s="87" t="str">
        <f>'Stage Entry'!M15</f>
        <v>Nick Tobin</v>
      </c>
      <c r="AD6" s="88">
        <f>'Stage Entry'!N15</f>
        <v>1.2592592592592593E-2</v>
      </c>
      <c r="AE6" s="89">
        <f t="shared" si="9"/>
        <v>0.10640046296296296</v>
      </c>
      <c r="AF6" s="87" t="str">
        <f>'Stage Entry'!R15</f>
        <v>Richard Does</v>
      </c>
      <c r="AG6" s="88">
        <f>'Stage Entry'!S15</f>
        <v>1.383101851851852E-2</v>
      </c>
      <c r="AH6" s="89">
        <f t="shared" si="10"/>
        <v>0.12023148148148148</v>
      </c>
      <c r="AI6" s="87" t="str">
        <f>'Stage Entry'!W15</f>
        <v>Ewen Vowels</v>
      </c>
      <c r="AJ6" s="88">
        <f>'Stage Entry'!X15</f>
        <v>1.3784722222222224E-2</v>
      </c>
      <c r="AK6" s="89">
        <f t="shared" si="11"/>
        <v>0.13401620370370371</v>
      </c>
      <c r="AL6" s="87" t="str">
        <f>'Stage Entry'!AB15</f>
        <v>Richard Does</v>
      </c>
      <c r="AM6" s="88">
        <f>'Stage Entry'!AC15</f>
        <v>1.1944444444444445E-2</v>
      </c>
      <c r="AN6" s="89">
        <f t="shared" si="12"/>
        <v>0.14596064814814816</v>
      </c>
      <c r="AO6" s="87" t="str">
        <f>'Stage Entry'!AG15</f>
        <v>Ian Dent</v>
      </c>
      <c r="AP6" s="88">
        <f>'Stage Entry'!AH15</f>
        <v>1.1597222222222222E-2</v>
      </c>
      <c r="AQ6" s="89">
        <f t="shared" si="13"/>
        <v>0.15755787037037039</v>
      </c>
      <c r="AR6" s="87" t="str">
        <f>'Stage Entry'!AL15</f>
        <v>Ewen Vowels</v>
      </c>
      <c r="AS6" s="88">
        <f>'Stage Entry'!AM15</f>
        <v>1.1249999999999998E-2</v>
      </c>
      <c r="AT6" s="89">
        <f t="shared" si="14"/>
        <v>0.1688078703703704</v>
      </c>
      <c r="AU6" s="87" t="str">
        <f>'Stage Entry'!AQ15</f>
        <v>Nick Tobin</v>
      </c>
      <c r="AV6" s="88">
        <f>'Stage Entry'!AR15</f>
        <v>1.3564814814814816E-2</v>
      </c>
      <c r="AW6" s="89">
        <f t="shared" si="15"/>
        <v>0.18237268518518521</v>
      </c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</row>
    <row r="7" spans="1:67" s="34" customFormat="1" ht="20.100000000000001" customHeight="1" x14ac:dyDescent="0.2">
      <c r="A7" s="86" t="str">
        <f>'Team Selection'!B6</f>
        <v>Mithos Marauders</v>
      </c>
      <c r="B7" s="87" t="str">
        <f>'Stage Entry'!H7</f>
        <v>Chris Wright</v>
      </c>
      <c r="C7" s="88">
        <f>'Stage Entry'!I7</f>
        <v>8.9467592592592585E-3</v>
      </c>
      <c r="D7" s="89">
        <f t="shared" si="0"/>
        <v>8.9467592592592585E-3</v>
      </c>
      <c r="E7" s="87" t="str">
        <f>'Stage Entry'!M7</f>
        <v>David Hartley</v>
      </c>
      <c r="F7" s="88">
        <f>'Stage Entry'!N7</f>
        <v>9.6643518518518511E-3</v>
      </c>
      <c r="G7" s="89">
        <f t="shared" si="1"/>
        <v>1.861111111111111E-2</v>
      </c>
      <c r="H7" s="87" t="str">
        <f>'Stage Entry'!R7</f>
        <v>John Dixon</v>
      </c>
      <c r="I7" s="88">
        <f>'Stage Entry'!S7</f>
        <v>9.7337962962962977E-3</v>
      </c>
      <c r="J7" s="89">
        <f t="shared" si="2"/>
        <v>2.8344907407407409E-2</v>
      </c>
      <c r="K7" s="87" t="str">
        <f>'Stage Entry'!W7</f>
        <v>Anthony Mithen</v>
      </c>
      <c r="L7" s="88">
        <f>'Stage Entry'!X7</f>
        <v>8.9236111111111113E-3</v>
      </c>
      <c r="M7" s="89">
        <f t="shared" si="3"/>
        <v>3.726851851851852E-2</v>
      </c>
      <c r="N7" s="87" t="str">
        <f>'Stage Entry'!AB7</f>
        <v>Chris Wright</v>
      </c>
      <c r="O7" s="88">
        <f>'Stage Entry'!AC7</f>
        <v>1.1493055555555555E-2</v>
      </c>
      <c r="P7" s="89">
        <f t="shared" si="4"/>
        <v>4.8761574074074075E-2</v>
      </c>
      <c r="Q7" s="87" t="str">
        <f>'Stage Entry'!AG7</f>
        <v>David Hartley</v>
      </c>
      <c r="R7" s="88">
        <f>'Stage Entry'!AH7</f>
        <v>1.1446759259259261E-2</v>
      </c>
      <c r="S7" s="89">
        <f t="shared" si="5"/>
        <v>6.0208333333333336E-2</v>
      </c>
      <c r="T7" s="87" t="str">
        <f>'Stage Entry'!AL7</f>
        <v>John Dixon</v>
      </c>
      <c r="U7" s="88">
        <f>'Stage Entry'!AM7</f>
        <v>7.4305555555555548E-3</v>
      </c>
      <c r="V7" s="89">
        <f t="shared" si="6"/>
        <v>6.7638888888888887E-2</v>
      </c>
      <c r="W7" s="87" t="str">
        <f>'Stage Entry'!AQ7</f>
        <v>Anthony Mithen</v>
      </c>
      <c r="X7" s="88">
        <f>'Stage Entry'!AR7</f>
        <v>1.4340277777777776E-2</v>
      </c>
      <c r="Y7" s="89">
        <f t="shared" si="7"/>
        <v>8.1979166666666659E-2</v>
      </c>
      <c r="Z7" s="87" t="str">
        <f>'Stage Entry'!H16</f>
        <v>Anthony Mithen</v>
      </c>
      <c r="AA7" s="88">
        <f>'Stage Entry'!I16</f>
        <v>1.0393518518518519E-2</v>
      </c>
      <c r="AB7" s="89">
        <f t="shared" si="8"/>
        <v>9.2372685185185183E-2</v>
      </c>
      <c r="AC7" s="87" t="str">
        <f>'Stage Entry'!M16</f>
        <v>David Hartley</v>
      </c>
      <c r="AD7" s="88">
        <f>'Stage Entry'!N16</f>
        <v>1.1111111111111112E-2</v>
      </c>
      <c r="AE7" s="89">
        <f t="shared" si="9"/>
        <v>0.1034837962962963</v>
      </c>
      <c r="AF7" s="87" t="str">
        <f>'Stage Entry'!R16</f>
        <v>Chris Wright</v>
      </c>
      <c r="AG7" s="88">
        <f>'Stage Entry'!S16</f>
        <v>1.4351851851851852E-2</v>
      </c>
      <c r="AH7" s="89">
        <f t="shared" si="10"/>
        <v>0.11783564814814815</v>
      </c>
      <c r="AI7" s="87" t="str">
        <f>'Stage Entry'!W16</f>
        <v>Anthony Mithen</v>
      </c>
      <c r="AJ7" s="88">
        <f>'Stage Entry'!X16</f>
        <v>1.1851851851851851E-2</v>
      </c>
      <c r="AK7" s="89">
        <f t="shared" si="11"/>
        <v>0.12968750000000001</v>
      </c>
      <c r="AL7" s="87" t="str">
        <f>'Stage Entry'!AB16</f>
        <v>David Hartley</v>
      </c>
      <c r="AM7" s="88">
        <f>'Stage Entry'!AC16</f>
        <v>1.3171296296296294E-2</v>
      </c>
      <c r="AN7" s="89">
        <f t="shared" si="12"/>
        <v>0.1428587962962963</v>
      </c>
      <c r="AO7" s="87" t="str">
        <f>'Stage Entry'!AG16</f>
        <v>John Dixon</v>
      </c>
      <c r="AP7" s="88">
        <f>'Stage Entry'!AH16</f>
        <v>1.1898148148148149E-2</v>
      </c>
      <c r="AQ7" s="89">
        <f t="shared" si="13"/>
        <v>0.15475694444444446</v>
      </c>
      <c r="AR7" s="87" t="str">
        <f>'Stage Entry'!AL16</f>
        <v>Chris Wright</v>
      </c>
      <c r="AS7" s="88">
        <f>'Stage Entry'!AM16</f>
        <v>1.1342592592592592E-2</v>
      </c>
      <c r="AT7" s="89">
        <f t="shared" si="14"/>
        <v>0.16609953703703706</v>
      </c>
      <c r="AU7" s="87" t="str">
        <f>'Stage Entry'!AQ16</f>
        <v>John Dixon</v>
      </c>
      <c r="AV7" s="88">
        <f>'Stage Entry'!AR16</f>
        <v>1.0694444444444444E-2</v>
      </c>
      <c r="AW7" s="89">
        <f t="shared" si="15"/>
        <v>0.17679398148148151</v>
      </c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</row>
    <row r="8" spans="1:67" s="34" customFormat="1" ht="20.100000000000001" customHeight="1" x14ac:dyDescent="0.2">
      <c r="A8" s="86" t="str">
        <f>'Team Selection'!B7</f>
        <v>The Lost Blues</v>
      </c>
      <c r="B8" s="87" t="str">
        <f>'Stage Entry'!H8</f>
        <v>Glenn Carroll</v>
      </c>
      <c r="C8" s="88">
        <f>'Stage Entry'!I8</f>
        <v>9.1782407407407403E-3</v>
      </c>
      <c r="D8" s="89">
        <f t="shared" si="0"/>
        <v>9.1782407407407403E-3</v>
      </c>
      <c r="E8" s="87" t="str">
        <f>'Stage Entry'!M8</f>
        <v>Martin Duchovny</v>
      </c>
      <c r="F8" s="88">
        <f>'Stage Entry'!N8</f>
        <v>9.5370370370370366E-3</v>
      </c>
      <c r="G8" s="89">
        <f t="shared" si="1"/>
        <v>1.8715277777777775E-2</v>
      </c>
      <c r="H8" s="87" t="str">
        <f>'Stage Entry'!R8</f>
        <v>Chris Osborne</v>
      </c>
      <c r="I8" s="88">
        <f>'Stage Entry'!S8</f>
        <v>9.7569444444444448E-3</v>
      </c>
      <c r="J8" s="89">
        <f t="shared" si="2"/>
        <v>2.8472222222222218E-2</v>
      </c>
      <c r="K8" s="87" t="str">
        <f>'Stage Entry'!W8</f>
        <v>David Alcock</v>
      </c>
      <c r="L8" s="88">
        <f>'Stage Entry'!X8</f>
        <v>8.773148148148148E-3</v>
      </c>
      <c r="M8" s="89">
        <f t="shared" si="3"/>
        <v>3.7245370370370366E-2</v>
      </c>
      <c r="N8" s="87" t="str">
        <f>'Stage Entry'!AB8</f>
        <v>Glenn Carroll</v>
      </c>
      <c r="O8" s="88">
        <f>'Stage Entry'!AC8</f>
        <v>1.2152777777777778E-2</v>
      </c>
      <c r="P8" s="89">
        <f t="shared" si="4"/>
        <v>4.9398148148148142E-2</v>
      </c>
      <c r="Q8" s="87" t="str">
        <f>'Stage Entry'!AG8</f>
        <v>Chris Osborne</v>
      </c>
      <c r="R8" s="88">
        <f>'Stage Entry'!AH8</f>
        <v>1.1087962962962964E-2</v>
      </c>
      <c r="S8" s="89">
        <f t="shared" si="5"/>
        <v>6.0486111111111109E-2</v>
      </c>
      <c r="T8" s="87" t="str">
        <f>'Stage Entry'!AL8</f>
        <v>Martin Duchovny</v>
      </c>
      <c r="U8" s="88">
        <f>'Stage Entry'!AM8</f>
        <v>7.5694444444444446E-3</v>
      </c>
      <c r="V8" s="89">
        <f t="shared" si="6"/>
        <v>6.805555555555555E-2</v>
      </c>
      <c r="W8" s="87" t="str">
        <f>'Stage Entry'!AQ8</f>
        <v>David Alcock</v>
      </c>
      <c r="X8" s="88">
        <f>'Stage Entry'!AR8</f>
        <v>1.4201388888888888E-2</v>
      </c>
      <c r="Y8" s="89">
        <f t="shared" si="7"/>
        <v>8.2256944444444438E-2</v>
      </c>
      <c r="Z8" s="87" t="str">
        <f>'Stage Entry'!H17</f>
        <v>Glenn Carroll</v>
      </c>
      <c r="AA8" s="88">
        <f>'Stage Entry'!I17</f>
        <v>1.064814814814815E-2</v>
      </c>
      <c r="AB8" s="89">
        <f t="shared" si="8"/>
        <v>9.2905092592592581E-2</v>
      </c>
      <c r="AC8" s="87" t="str">
        <f>'Stage Entry'!M17</f>
        <v>Chris Osborne</v>
      </c>
      <c r="AD8" s="88">
        <f>'Stage Entry'!N17</f>
        <v>1.113425925925926E-2</v>
      </c>
      <c r="AE8" s="89">
        <f t="shared" si="9"/>
        <v>0.10403935185185184</v>
      </c>
      <c r="AF8" s="87" t="str">
        <f>'Stage Entry'!R17</f>
        <v>David Alcock</v>
      </c>
      <c r="AG8" s="88">
        <f>'Stage Entry'!S17</f>
        <v>1.7210648148148149E-2</v>
      </c>
      <c r="AH8" s="89">
        <f t="shared" si="10"/>
        <v>0.12125</v>
      </c>
      <c r="AI8" s="87" t="str">
        <f>'Stage Entry'!W17</f>
        <v>Martin Duchovny</v>
      </c>
      <c r="AJ8" s="88">
        <f>'Stage Entry'!X17</f>
        <v>1.2731481481481481E-2</v>
      </c>
      <c r="AK8" s="89">
        <f t="shared" si="11"/>
        <v>0.13398148148148148</v>
      </c>
      <c r="AL8" s="87" t="str">
        <f>'Stage Entry'!AB17</f>
        <v>Glenn Carroll</v>
      </c>
      <c r="AM8" s="88">
        <f>'Stage Entry'!AC17</f>
        <v>1.292824074074074E-2</v>
      </c>
      <c r="AN8" s="89">
        <f t="shared" si="12"/>
        <v>0.14690972222222221</v>
      </c>
      <c r="AO8" s="87" t="str">
        <f>'Stage Entry'!AG17</f>
        <v>Chris Osborne</v>
      </c>
      <c r="AP8" s="88">
        <f>'Stage Entry'!AH17</f>
        <v>1.1863425925925925E-2</v>
      </c>
      <c r="AQ8" s="89">
        <f t="shared" si="13"/>
        <v>0.15877314814814814</v>
      </c>
      <c r="AR8" s="87" t="str">
        <f>'Stage Entry'!AL17</f>
        <v>David Alcock</v>
      </c>
      <c r="AS8" s="88">
        <f>'Stage Entry'!AM17</f>
        <v>1.1631944444444445E-2</v>
      </c>
      <c r="AT8" s="89">
        <f t="shared" si="14"/>
        <v>0.17040509259259257</v>
      </c>
      <c r="AU8" s="87" t="str">
        <f>'Stage Entry'!AQ17</f>
        <v>Martin Duchovny</v>
      </c>
      <c r="AV8" s="88">
        <f>'Stage Entry'!AR17</f>
        <v>1.0601851851851854E-2</v>
      </c>
      <c r="AW8" s="89">
        <f t="shared" si="15"/>
        <v>0.18100694444444443</v>
      </c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</row>
    <row r="9" spans="1:67" s="34" customFormat="1" ht="20.100000000000001" customHeight="1" x14ac:dyDescent="0.2">
      <c r="A9" s="86" t="str">
        <f>'Team Selection'!B8</f>
        <v>Green with Envy</v>
      </c>
      <c r="B9" s="87" t="str">
        <f>'Stage Entry'!H9</f>
        <v>Kirsten Jackson</v>
      </c>
      <c r="C9" s="88">
        <f>'Stage Entry'!I9</f>
        <v>1.1145833333333334E-2</v>
      </c>
      <c r="D9" s="89">
        <f t="shared" si="0"/>
        <v>1.1145833333333334E-2</v>
      </c>
      <c r="E9" s="87" t="str">
        <f>'Stage Entry'!M9</f>
        <v>Nick Turner</v>
      </c>
      <c r="F9" s="88">
        <f>'Stage Entry'!N9</f>
        <v>9.1782407407407403E-3</v>
      </c>
      <c r="G9" s="89">
        <f t="shared" si="1"/>
        <v>2.0324074074074074E-2</v>
      </c>
      <c r="H9" s="87" t="str">
        <f>'Stage Entry'!R9</f>
        <v>James Chiriano</v>
      </c>
      <c r="I9" s="88">
        <f>'Stage Entry'!S9</f>
        <v>9.2939814814814812E-3</v>
      </c>
      <c r="J9" s="89">
        <f t="shared" si="2"/>
        <v>2.9618055555555557E-2</v>
      </c>
      <c r="K9" s="87" t="str">
        <f>'Stage Entry'!W9</f>
        <v>Rob Dalton</v>
      </c>
      <c r="L9" s="88">
        <f>'Stage Entry'!X9</f>
        <v>8.9583333333333338E-3</v>
      </c>
      <c r="M9" s="89">
        <f t="shared" si="3"/>
        <v>3.8576388888888889E-2</v>
      </c>
      <c r="N9" s="87" t="str">
        <f>'Stage Entry'!AB9</f>
        <v>Kirsten Jackson</v>
      </c>
      <c r="O9" s="88">
        <f>'Stage Entry'!AC9</f>
        <v>1.3229166666666667E-2</v>
      </c>
      <c r="P9" s="89">
        <f t="shared" si="4"/>
        <v>5.1805555555555556E-2</v>
      </c>
      <c r="Q9" s="87" t="str">
        <f>'Stage Entry'!AG9</f>
        <v>Nick Turner</v>
      </c>
      <c r="R9" s="88">
        <f>'Stage Entry'!AH9</f>
        <v>1.0219907407407408E-2</v>
      </c>
      <c r="S9" s="89">
        <f t="shared" si="5"/>
        <v>6.2025462962962963E-2</v>
      </c>
      <c r="T9" s="87" t="str">
        <f>'Stage Entry'!AL9</f>
        <v>James Chiriano</v>
      </c>
      <c r="U9" s="88">
        <f>'Stage Entry'!AM9</f>
        <v>7.5115740740740742E-3</v>
      </c>
      <c r="V9" s="89">
        <f t="shared" si="6"/>
        <v>6.9537037037037036E-2</v>
      </c>
      <c r="W9" s="87" t="str">
        <f>'Stage Entry'!AQ9</f>
        <v>Rob Dalton</v>
      </c>
      <c r="X9" s="88">
        <f>'Stage Entry'!AR9</f>
        <v>1.4444444444444446E-2</v>
      </c>
      <c r="Y9" s="89">
        <f t="shared" si="7"/>
        <v>8.3981481481481476E-2</v>
      </c>
      <c r="Z9" s="87" t="str">
        <f>'Stage Entry'!H18</f>
        <v>James Chiriano</v>
      </c>
      <c r="AA9" s="88">
        <f>'Stage Entry'!I18</f>
        <v>1.2673611111111109E-2</v>
      </c>
      <c r="AB9" s="89">
        <f t="shared" si="8"/>
        <v>9.6655092592592584E-2</v>
      </c>
      <c r="AC9" s="87" t="str">
        <f>'Stage Entry'!M18</f>
        <v>Kirsten Jackson</v>
      </c>
      <c r="AD9" s="88">
        <f>'Stage Entry'!N18</f>
        <v>1.1782407407407406E-2</v>
      </c>
      <c r="AE9" s="89">
        <f t="shared" si="9"/>
        <v>0.10843749999999999</v>
      </c>
      <c r="AF9" s="87" t="str">
        <f>'Stage Entry'!R18</f>
        <v>Rob Dalton</v>
      </c>
      <c r="AG9" s="88">
        <f>'Stage Entry'!S18</f>
        <v>1.5821759259259261E-2</v>
      </c>
      <c r="AH9" s="89">
        <f t="shared" si="10"/>
        <v>0.12425925925925925</v>
      </c>
      <c r="AI9" s="87" t="str">
        <f>'Stage Entry'!W18</f>
        <v>Nick Turner</v>
      </c>
      <c r="AJ9" s="88">
        <f>'Stage Entry'!X18</f>
        <v>1.1759259259259259E-2</v>
      </c>
      <c r="AK9" s="89">
        <f t="shared" si="11"/>
        <v>0.13601851851851851</v>
      </c>
      <c r="AL9" s="87" t="str">
        <f>'Stage Entry'!AB18</f>
        <v>Rob Dalton</v>
      </c>
      <c r="AM9" s="88">
        <f>'Stage Entry'!AC18</f>
        <v>1.3564814814814816E-2</v>
      </c>
      <c r="AN9" s="89">
        <f t="shared" si="12"/>
        <v>0.14958333333333332</v>
      </c>
      <c r="AO9" s="87" t="str">
        <f>'Stage Entry'!AG18</f>
        <v>Kirsten Jackson</v>
      </c>
      <c r="AP9" s="88">
        <f>'Stage Entry'!AH18</f>
        <v>1.2037037037037035E-2</v>
      </c>
      <c r="AQ9" s="89">
        <f t="shared" si="13"/>
        <v>0.16162037037037036</v>
      </c>
      <c r="AR9" s="87" t="str">
        <f>'Stage Entry'!AL18</f>
        <v>Nick Turner</v>
      </c>
      <c r="AS9" s="88">
        <f>'Stage Entry'!AM18</f>
        <v>1.0810185185185185E-2</v>
      </c>
      <c r="AT9" s="89">
        <f t="shared" si="14"/>
        <v>0.17243055555555553</v>
      </c>
      <c r="AU9" s="87" t="str">
        <f>'Stage Entry'!AQ18</f>
        <v>James Chiriano</v>
      </c>
      <c r="AV9" s="88">
        <f>'Stage Entry'!AR18</f>
        <v>1.1284722222222222E-2</v>
      </c>
      <c r="AW9" s="89">
        <f t="shared" si="15"/>
        <v>0.18371527777777774</v>
      </c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</row>
    <row r="11" spans="1:67" s="103" customFormat="1" x14ac:dyDescent="0.2">
      <c r="B11" s="104"/>
      <c r="C11" s="105" t="s">
        <v>43</v>
      </c>
      <c r="D11" s="106" t="s">
        <v>42</v>
      </c>
      <c r="E11" s="145"/>
      <c r="F11" s="146" t="s">
        <v>43</v>
      </c>
      <c r="G11" s="147" t="s">
        <v>42</v>
      </c>
      <c r="H11" s="145"/>
      <c r="I11" s="146" t="s">
        <v>43</v>
      </c>
      <c r="J11" s="147" t="s">
        <v>42</v>
      </c>
      <c r="K11" s="104"/>
      <c r="L11" s="105" t="s">
        <v>43</v>
      </c>
      <c r="M11" s="106" t="s">
        <v>42</v>
      </c>
      <c r="N11" s="104"/>
      <c r="O11" s="105" t="s">
        <v>43</v>
      </c>
      <c r="P11" s="106" t="s">
        <v>42</v>
      </c>
      <c r="Q11" s="104"/>
      <c r="R11" s="105" t="s">
        <v>43</v>
      </c>
      <c r="S11" s="106" t="s">
        <v>42</v>
      </c>
      <c r="T11" s="104"/>
      <c r="U11" s="105" t="s">
        <v>43</v>
      </c>
      <c r="V11" s="106" t="s">
        <v>42</v>
      </c>
      <c r="W11" s="104"/>
      <c r="X11" s="105" t="s">
        <v>43</v>
      </c>
      <c r="Y11" s="106" t="s">
        <v>42</v>
      </c>
      <c r="Z11" s="104"/>
      <c r="AA11" s="105" t="s">
        <v>43</v>
      </c>
      <c r="AB11" s="106" t="s">
        <v>42</v>
      </c>
      <c r="AC11" s="104"/>
      <c r="AD11" s="105" t="s">
        <v>43</v>
      </c>
      <c r="AE11" s="106" t="s">
        <v>42</v>
      </c>
      <c r="AF11" s="104"/>
      <c r="AG11" s="105" t="s">
        <v>43</v>
      </c>
      <c r="AH11" s="106" t="s">
        <v>42</v>
      </c>
      <c r="AI11" s="104"/>
      <c r="AJ11" s="105" t="s">
        <v>43</v>
      </c>
      <c r="AK11" s="106" t="s">
        <v>42</v>
      </c>
      <c r="AL11" s="104"/>
      <c r="AM11" s="105" t="s">
        <v>43</v>
      </c>
      <c r="AN11" s="106" t="s">
        <v>42</v>
      </c>
      <c r="AO11" s="104"/>
      <c r="AP11" s="105" t="s">
        <v>43</v>
      </c>
      <c r="AQ11" s="106" t="s">
        <v>42</v>
      </c>
      <c r="AR11" s="104"/>
      <c r="AS11" s="105" t="s">
        <v>43</v>
      </c>
      <c r="AT11" s="106" t="s">
        <v>42</v>
      </c>
      <c r="AU11" s="104"/>
      <c r="AV11" s="105" t="s">
        <v>43</v>
      </c>
      <c r="AW11" s="106" t="s">
        <v>42</v>
      </c>
      <c r="AX11" s="109"/>
      <c r="AY11" s="110" t="s">
        <v>0</v>
      </c>
      <c r="AZ11" s="111">
        <v>1</v>
      </c>
      <c r="BA11" s="111">
        <v>2</v>
      </c>
      <c r="BB11" s="111">
        <v>3</v>
      </c>
      <c r="BC11" s="111">
        <v>4</v>
      </c>
      <c r="BD11" s="111">
        <v>5</v>
      </c>
      <c r="BE11" s="111">
        <v>6</v>
      </c>
      <c r="BF11" s="111">
        <v>7</v>
      </c>
      <c r="BG11" s="111">
        <v>8</v>
      </c>
      <c r="BH11" s="111">
        <v>9</v>
      </c>
      <c r="BI11" s="111">
        <v>10</v>
      </c>
      <c r="BJ11" s="111">
        <v>9</v>
      </c>
      <c r="BK11" s="111">
        <v>10</v>
      </c>
      <c r="BL11" s="111">
        <v>11</v>
      </c>
      <c r="BM11" s="111">
        <v>12</v>
      </c>
      <c r="BN11" s="111">
        <v>13</v>
      </c>
      <c r="BO11" s="111">
        <v>14</v>
      </c>
    </row>
    <row r="12" spans="1:67" x14ac:dyDescent="0.2">
      <c r="C12" s="101">
        <f t="shared" ref="C12:C17" si="16">RANK(D4,D$4:D$9,1)</f>
        <v>3</v>
      </c>
      <c r="D12" s="102">
        <f t="shared" ref="D12:D17" si="17">D4-MIN(D$4,D$5,D$6,D$7,D$8,D$9)</f>
        <v>2.8935185185185314E-4</v>
      </c>
      <c r="F12" s="101">
        <f t="shared" ref="F12:F17" si="18">RANK(G4,G$4:G$9,1)</f>
        <v>5</v>
      </c>
      <c r="G12" s="102">
        <f t="shared" ref="G12:G17" si="19">G4-MIN(G$4,G$5,G$6,G$7,G$8,G$9)</f>
        <v>3.3564814814814742E-4</v>
      </c>
      <c r="I12" s="101">
        <f t="shared" ref="I12:I17" si="20">RANK(J4,J$4:J$9,1)</f>
        <v>6</v>
      </c>
      <c r="J12" s="102">
        <f t="shared" ref="J12:J17" si="21">J4-MIN(J$4,J$5,J$6,J$7,J$8,J$9)</f>
        <v>1.3541666666666632E-3</v>
      </c>
      <c r="L12" s="101">
        <f t="shared" ref="L12:L17" si="22">RANK(M4,M$4:M$9,1)</f>
        <v>5</v>
      </c>
      <c r="M12" s="102">
        <f t="shared" ref="M12:M17" si="23">M4-MIN(M$4,M$5,M$6,M$7,M$8,M$9)</f>
        <v>9.490740740740744E-4</v>
      </c>
      <c r="O12" s="101">
        <f t="shared" ref="O12:O17" si="24">RANK(P4,P$4:P$9,1)</f>
        <v>5</v>
      </c>
      <c r="P12" s="102">
        <f t="shared" ref="P12:P17" si="25">P4-MIN(P$4,P$5,P$6,P$7,P$8,P$9)</f>
        <v>1.6435185185185094E-3</v>
      </c>
      <c r="R12" s="101">
        <f t="shared" ref="R12:R17" si="26">RANK(S4,S$4:S$9,1)</f>
        <v>5</v>
      </c>
      <c r="S12" s="102">
        <f t="shared" ref="S12:S17" si="27">S4-MIN(S$4,S$5,S$6,S$7,S$8,S$9)</f>
        <v>1.4004629629629506E-3</v>
      </c>
      <c r="U12" s="101">
        <f t="shared" ref="U12:U17" si="28">RANK(V4,V$4:V$9,1)</f>
        <v>6</v>
      </c>
      <c r="V12" s="102">
        <f t="shared" ref="V12:V17" si="29">V4-MIN(V$4,V$5,V$6,V$7,V$8,V$9)</f>
        <v>2.3379629629629584E-3</v>
      </c>
      <c r="X12" s="101">
        <f t="shared" ref="X12:X17" si="30">RANK(Y4,Y$4:Y$9,1)</f>
        <v>5</v>
      </c>
      <c r="Y12" s="102">
        <f t="shared" ref="Y12:Y17" si="31">Y4-MIN(Y$4,Y$5,Y$6,Y$7,Y$8,Y$9)</f>
        <v>1.2731481481481483E-3</v>
      </c>
      <c r="AA12" s="101">
        <f t="shared" ref="AA12:AA17" si="32">RANK(AB4,AB$4:AB$9,1)</f>
        <v>5</v>
      </c>
      <c r="AB12" s="102">
        <f t="shared" ref="AB12:AB17" si="33">AB4-MIN(AB$4,AB$5,AB$6,AB$7,AB$8,AB$9)</f>
        <v>2.2106481481481421E-3</v>
      </c>
      <c r="AD12" s="101">
        <f t="shared" ref="AD12:AD17" si="34">RANK(AE4,AE$4:AE$9,1)</f>
        <v>5</v>
      </c>
      <c r="AE12" s="102">
        <f t="shared" ref="AE12:AE17" si="35">AE4-MIN(AE$4,AE$5,AE$6,AE$7,AE$8,AE$9)</f>
        <v>3.9583333333333276E-3</v>
      </c>
      <c r="AG12" s="101">
        <f t="shared" ref="AG12:AG17" si="36">RANK(AH4,AH$4:AH$9,1)</f>
        <v>3</v>
      </c>
      <c r="AH12" s="102">
        <f t="shared" ref="AH12:AH17" si="37">AH4-MIN(AH$4,AH$5,AH$6,AH$7,AH$8,AH$9)</f>
        <v>3.1712962962962971E-3</v>
      </c>
      <c r="AJ12" s="101">
        <f t="shared" ref="AJ12:AJ17" si="38">RANK(AK4,AK$4:AK$9,1)</f>
        <v>2</v>
      </c>
      <c r="AK12" s="102">
        <f t="shared" ref="AK12:AK17" si="39">AK4-MIN(AK$4,AK$5,AK$6,AK$7,AK$8,AK$9)</f>
        <v>4.2129629629629461E-3</v>
      </c>
      <c r="AM12" s="101">
        <f t="shared" ref="AM12:AM17" si="40">RANK(AN4,AN$4:AN$9,1)</f>
        <v>2</v>
      </c>
      <c r="AN12" s="102">
        <f t="shared" ref="AN12:AN17" si="41">AN4-MIN(AN$4,AN$5,AN$6,AN$7,AN$8,AN$9)</f>
        <v>3.0902777777777612E-3</v>
      </c>
      <c r="AP12" s="101">
        <f t="shared" ref="AP12:AP17" si="42">RANK(AQ4,AQ$4:AQ$9,1)</f>
        <v>2</v>
      </c>
      <c r="AQ12" s="102">
        <f t="shared" ref="AQ12:AQ17" si="43">AQ4-MIN(AQ$4,AQ$5,AQ$6,AQ$7,AQ$8,AQ$9)</f>
        <v>2.7893518518518345E-3</v>
      </c>
      <c r="AS12" s="101">
        <f t="shared" ref="AS12:AS17" si="44">RANK(AT4,AT$4:AT$9,1)</f>
        <v>3</v>
      </c>
      <c r="AT12" s="102">
        <f t="shared" ref="AT12:AT17" si="45">AT4-MIN(AT$4,AT$5,AT$6,AT$7,AT$8,AT$9)</f>
        <v>2.8240740740740622E-3</v>
      </c>
      <c r="AV12" s="101">
        <f t="shared" ref="AV12:AV17" si="46">RANK(AW4,AW$4:AW$9,1)</f>
        <v>5</v>
      </c>
      <c r="AW12" s="102">
        <f t="shared" ref="AW12:AW17" si="47">AW4-MIN(AW$4,AW$5,AW$6,AW$7,AW$8,AW$9)</f>
        <v>6.0995370370370283E-3</v>
      </c>
      <c r="AX12" s="112"/>
      <c r="AY12" s="113" t="str">
        <f t="shared" ref="AY12:AY17" si="48">A4</f>
        <v>Purple Rain</v>
      </c>
      <c r="AZ12" s="114">
        <f t="shared" ref="AZ12:AZ17" si="49">D12</f>
        <v>2.8935185185185314E-4</v>
      </c>
      <c r="BA12" s="114">
        <f t="shared" ref="BA12:BA17" si="50">G12</f>
        <v>3.3564814814814742E-4</v>
      </c>
      <c r="BB12" s="114">
        <f t="shared" ref="BB12:BB17" si="51">J12</f>
        <v>1.3541666666666632E-3</v>
      </c>
      <c r="BC12" s="114">
        <f t="shared" ref="BC12:BC17" si="52">M12</f>
        <v>9.490740740740744E-4</v>
      </c>
      <c r="BD12" s="114">
        <f t="shared" ref="BD12:BD17" si="53">P12</f>
        <v>1.6435185185185094E-3</v>
      </c>
      <c r="BE12" s="114">
        <f t="shared" ref="BE12:BE17" si="54">S12</f>
        <v>1.4004629629629506E-3</v>
      </c>
      <c r="BF12" s="114">
        <f t="shared" ref="BF12:BF17" si="55">V12</f>
        <v>2.3379629629629584E-3</v>
      </c>
      <c r="BG12" s="114">
        <f t="shared" ref="BG12:BG17" si="56">Y12</f>
        <v>1.2731481481481483E-3</v>
      </c>
      <c r="BH12" s="114">
        <f t="shared" ref="BH12:BH17" si="57">AB12</f>
        <v>2.2106481481481421E-3</v>
      </c>
      <c r="BI12" s="114">
        <f t="shared" ref="BI12:BI17" si="58">AE12</f>
        <v>3.9583333333333276E-3</v>
      </c>
      <c r="BJ12" s="114">
        <f t="shared" ref="BJ12:BJ17" si="59">AH12</f>
        <v>3.1712962962962971E-3</v>
      </c>
      <c r="BK12" s="114">
        <f t="shared" ref="BK12:BK17" si="60">AK12</f>
        <v>4.2129629629629461E-3</v>
      </c>
      <c r="BL12" s="114">
        <f t="shared" ref="BL12:BL17" si="61">AN12</f>
        <v>3.0902777777777612E-3</v>
      </c>
      <c r="BM12" s="114">
        <f t="shared" ref="BM12:BM17" si="62">AQ12</f>
        <v>2.7893518518518345E-3</v>
      </c>
      <c r="BN12" s="114">
        <f t="shared" ref="BN12:BN17" si="63">AT12</f>
        <v>2.8240740740740622E-3</v>
      </c>
      <c r="BO12" s="114">
        <f t="shared" ref="BO12:BO17" si="64">AW12</f>
        <v>6.0995370370370283E-3</v>
      </c>
    </row>
    <row r="13" spans="1:67" x14ac:dyDescent="0.2">
      <c r="C13" s="101">
        <f t="shared" si="16"/>
        <v>4</v>
      </c>
      <c r="D13" s="102">
        <f t="shared" si="17"/>
        <v>3.1250000000000201E-4</v>
      </c>
      <c r="F13" s="101">
        <f t="shared" si="18"/>
        <v>1</v>
      </c>
      <c r="G13" s="102">
        <f t="shared" si="19"/>
        <v>0</v>
      </c>
      <c r="I13" s="101">
        <f t="shared" si="20"/>
        <v>3</v>
      </c>
      <c r="J13" s="102">
        <f t="shared" si="21"/>
        <v>3.7037037037036813E-4</v>
      </c>
      <c r="L13" s="101">
        <f t="shared" si="22"/>
        <v>3</v>
      </c>
      <c r="M13" s="102">
        <f t="shared" si="23"/>
        <v>3.4722222222222793E-4</v>
      </c>
      <c r="O13" s="101">
        <f t="shared" si="24"/>
        <v>3</v>
      </c>
      <c r="P13" s="102">
        <f t="shared" si="25"/>
        <v>1.1574074074074056E-3</v>
      </c>
      <c r="R13" s="101">
        <f t="shared" si="26"/>
        <v>3</v>
      </c>
      <c r="S13" s="102">
        <f t="shared" si="27"/>
        <v>3.1250000000000028E-4</v>
      </c>
      <c r="U13" s="101">
        <f t="shared" si="28"/>
        <v>3</v>
      </c>
      <c r="V13" s="102">
        <f t="shared" si="29"/>
        <v>1.2384259259259345E-3</v>
      </c>
      <c r="X13" s="101">
        <f t="shared" si="30"/>
        <v>4</v>
      </c>
      <c r="Y13" s="102">
        <f t="shared" si="31"/>
        <v>8.3333333333335258E-4</v>
      </c>
      <c r="AA13" s="101">
        <f t="shared" si="32"/>
        <v>3</v>
      </c>
      <c r="AB13" s="102">
        <f t="shared" si="33"/>
        <v>9.9537037037038256E-4</v>
      </c>
      <c r="AD13" s="101">
        <f t="shared" si="34"/>
        <v>3</v>
      </c>
      <c r="AE13" s="102">
        <f t="shared" si="35"/>
        <v>1.8865740740740822E-3</v>
      </c>
      <c r="AG13" s="101">
        <f t="shared" si="36"/>
        <v>5</v>
      </c>
      <c r="AH13" s="102">
        <f t="shared" si="37"/>
        <v>4.745370370370372E-3</v>
      </c>
      <c r="AJ13" s="101">
        <f t="shared" si="38"/>
        <v>5</v>
      </c>
      <c r="AK13" s="102">
        <f t="shared" si="39"/>
        <v>5.1967592592592482E-3</v>
      </c>
      <c r="AM13" s="101">
        <f t="shared" si="40"/>
        <v>5</v>
      </c>
      <c r="AN13" s="102">
        <f t="shared" si="41"/>
        <v>4.8032407407407329E-3</v>
      </c>
      <c r="AP13" s="101">
        <f t="shared" si="42"/>
        <v>4</v>
      </c>
      <c r="AQ13" s="102">
        <f t="shared" si="43"/>
        <v>3.9699074074073804E-3</v>
      </c>
      <c r="AS13" s="101">
        <f t="shared" si="44"/>
        <v>4</v>
      </c>
      <c r="AT13" s="102">
        <f t="shared" si="45"/>
        <v>3.8425925925925641E-3</v>
      </c>
      <c r="AV13" s="101">
        <f t="shared" si="46"/>
        <v>2</v>
      </c>
      <c r="AW13" s="102">
        <f t="shared" si="47"/>
        <v>4.0624999999999689E-3</v>
      </c>
      <c r="AX13" s="112"/>
      <c r="AY13" s="113" t="str">
        <f t="shared" si="48"/>
        <v>Stodds GPS Studs</v>
      </c>
      <c r="AZ13" s="114">
        <f t="shared" si="49"/>
        <v>3.1250000000000201E-4</v>
      </c>
      <c r="BA13" s="114">
        <f t="shared" si="50"/>
        <v>0</v>
      </c>
      <c r="BB13" s="114">
        <f t="shared" si="51"/>
        <v>3.7037037037036813E-4</v>
      </c>
      <c r="BC13" s="114">
        <f t="shared" si="52"/>
        <v>3.4722222222222793E-4</v>
      </c>
      <c r="BD13" s="114">
        <f t="shared" si="53"/>
        <v>1.1574074074074056E-3</v>
      </c>
      <c r="BE13" s="114">
        <f t="shared" si="54"/>
        <v>3.1250000000000028E-4</v>
      </c>
      <c r="BF13" s="114">
        <f t="shared" si="55"/>
        <v>1.2384259259259345E-3</v>
      </c>
      <c r="BG13" s="114">
        <f t="shared" si="56"/>
        <v>8.3333333333335258E-4</v>
      </c>
      <c r="BH13" s="114">
        <f t="shared" si="57"/>
        <v>9.9537037037038256E-4</v>
      </c>
      <c r="BI13" s="114">
        <f t="shared" si="58"/>
        <v>1.8865740740740822E-3</v>
      </c>
      <c r="BJ13" s="114">
        <f t="shared" si="59"/>
        <v>4.745370370370372E-3</v>
      </c>
      <c r="BK13" s="114">
        <f t="shared" si="60"/>
        <v>5.1967592592592482E-3</v>
      </c>
      <c r="BL13" s="114">
        <f t="shared" si="61"/>
        <v>4.8032407407407329E-3</v>
      </c>
      <c r="BM13" s="114">
        <f t="shared" si="62"/>
        <v>3.9699074074073804E-3</v>
      </c>
      <c r="BN13" s="114">
        <f t="shared" si="63"/>
        <v>3.8425925925925641E-3</v>
      </c>
      <c r="BO13" s="114">
        <f t="shared" si="64"/>
        <v>4.0624999999999689E-3</v>
      </c>
    </row>
    <row r="14" spans="1:67" x14ac:dyDescent="0.2">
      <c r="C14" s="101">
        <f t="shared" si="16"/>
        <v>5</v>
      </c>
      <c r="D14" s="102">
        <f t="shared" si="17"/>
        <v>4.3981481481481649E-4</v>
      </c>
      <c r="F14" s="101">
        <f t="shared" si="18"/>
        <v>2</v>
      </c>
      <c r="G14" s="102">
        <f t="shared" si="19"/>
        <v>9.2592592592592032E-5</v>
      </c>
      <c r="I14" s="101">
        <f t="shared" si="20"/>
        <v>4</v>
      </c>
      <c r="J14" s="102">
        <f t="shared" si="21"/>
        <v>9.1435185185185022E-4</v>
      </c>
      <c r="L14" s="101">
        <f t="shared" si="22"/>
        <v>4</v>
      </c>
      <c r="M14" s="102">
        <f t="shared" si="23"/>
        <v>4.2824074074074292E-4</v>
      </c>
      <c r="O14" s="101">
        <f t="shared" si="24"/>
        <v>4</v>
      </c>
      <c r="P14" s="102">
        <f t="shared" si="25"/>
        <v>1.4814814814814795E-3</v>
      </c>
      <c r="R14" s="101">
        <f t="shared" si="26"/>
        <v>4</v>
      </c>
      <c r="S14" s="102">
        <f t="shared" si="27"/>
        <v>9.7222222222222154E-4</v>
      </c>
      <c r="U14" s="101">
        <f t="shared" si="28"/>
        <v>4</v>
      </c>
      <c r="V14" s="102">
        <f t="shared" si="29"/>
        <v>1.7129629629629717E-3</v>
      </c>
      <c r="X14" s="101">
        <f t="shared" si="30"/>
        <v>3</v>
      </c>
      <c r="Y14" s="102">
        <f t="shared" si="31"/>
        <v>6.9444444444445586E-4</v>
      </c>
      <c r="AA14" s="101">
        <f t="shared" si="32"/>
        <v>4</v>
      </c>
      <c r="AB14" s="102">
        <f t="shared" si="33"/>
        <v>1.4351851851851921E-3</v>
      </c>
      <c r="AD14" s="101">
        <f t="shared" si="34"/>
        <v>4</v>
      </c>
      <c r="AE14" s="102">
        <f t="shared" si="35"/>
        <v>2.9166666666666646E-3</v>
      </c>
      <c r="AG14" s="101">
        <f t="shared" si="36"/>
        <v>2</v>
      </c>
      <c r="AH14" s="102">
        <f t="shared" si="37"/>
        <v>2.3958333333333331E-3</v>
      </c>
      <c r="AJ14" s="101">
        <f t="shared" si="38"/>
        <v>4</v>
      </c>
      <c r="AK14" s="102">
        <f t="shared" si="39"/>
        <v>4.3287037037036957E-3</v>
      </c>
      <c r="AM14" s="101">
        <f t="shared" si="40"/>
        <v>3</v>
      </c>
      <c r="AN14" s="102">
        <f t="shared" si="41"/>
        <v>3.1018518518518556E-3</v>
      </c>
      <c r="AP14" s="101">
        <f t="shared" si="42"/>
        <v>3</v>
      </c>
      <c r="AQ14" s="102">
        <f t="shared" si="43"/>
        <v>2.8009259259259289E-3</v>
      </c>
      <c r="AS14" s="101">
        <f t="shared" si="44"/>
        <v>2</v>
      </c>
      <c r="AT14" s="102">
        <f t="shared" si="45"/>
        <v>2.7083333333333404E-3</v>
      </c>
      <c r="AV14" s="101">
        <f t="shared" si="46"/>
        <v>4</v>
      </c>
      <c r="AW14" s="102">
        <f t="shared" si="47"/>
        <v>5.5787037037036968E-3</v>
      </c>
      <c r="AX14" s="112"/>
      <c r="AY14" s="113" t="str">
        <f t="shared" si="48"/>
        <v>Suzy's Stars</v>
      </c>
      <c r="AZ14" s="114">
        <f t="shared" si="49"/>
        <v>4.3981481481481649E-4</v>
      </c>
      <c r="BA14" s="114">
        <f t="shared" si="50"/>
        <v>9.2592592592592032E-5</v>
      </c>
      <c r="BB14" s="114">
        <f t="shared" si="51"/>
        <v>9.1435185185185022E-4</v>
      </c>
      <c r="BC14" s="114">
        <f t="shared" si="52"/>
        <v>4.2824074074074292E-4</v>
      </c>
      <c r="BD14" s="114">
        <f t="shared" si="53"/>
        <v>1.4814814814814795E-3</v>
      </c>
      <c r="BE14" s="114">
        <f t="shared" si="54"/>
        <v>9.7222222222222154E-4</v>
      </c>
      <c r="BF14" s="114">
        <f t="shared" si="55"/>
        <v>1.7129629629629717E-3</v>
      </c>
      <c r="BG14" s="114">
        <f t="shared" si="56"/>
        <v>6.9444444444445586E-4</v>
      </c>
      <c r="BH14" s="114">
        <f t="shared" si="57"/>
        <v>1.4351851851851921E-3</v>
      </c>
      <c r="BI14" s="114">
        <f t="shared" si="58"/>
        <v>2.9166666666666646E-3</v>
      </c>
      <c r="BJ14" s="114">
        <f t="shared" si="59"/>
        <v>2.3958333333333331E-3</v>
      </c>
      <c r="BK14" s="114">
        <f t="shared" si="60"/>
        <v>4.3287037037036957E-3</v>
      </c>
      <c r="BL14" s="114">
        <f t="shared" si="61"/>
        <v>3.1018518518518556E-3</v>
      </c>
      <c r="BM14" s="114">
        <f t="shared" si="62"/>
        <v>2.8009259259259289E-3</v>
      </c>
      <c r="BN14" s="114">
        <f t="shared" si="63"/>
        <v>2.7083333333333404E-3</v>
      </c>
      <c r="BO14" s="114">
        <f t="shared" si="64"/>
        <v>5.5787037037036968E-3</v>
      </c>
    </row>
    <row r="15" spans="1:67" x14ac:dyDescent="0.2">
      <c r="C15" s="101">
        <f t="shared" si="16"/>
        <v>1</v>
      </c>
      <c r="D15" s="102">
        <f t="shared" si="17"/>
        <v>0</v>
      </c>
      <c r="F15" s="101">
        <f t="shared" si="18"/>
        <v>3</v>
      </c>
      <c r="G15" s="102">
        <f t="shared" si="19"/>
        <v>1.5046296296295988E-4</v>
      </c>
      <c r="I15" s="101">
        <f t="shared" si="20"/>
        <v>1</v>
      </c>
      <c r="J15" s="102">
        <f t="shared" si="21"/>
        <v>0</v>
      </c>
      <c r="L15" s="101">
        <f t="shared" si="22"/>
        <v>2</v>
      </c>
      <c r="M15" s="102">
        <f t="shared" si="23"/>
        <v>2.314814814815408E-5</v>
      </c>
      <c r="O15" s="101">
        <f t="shared" si="24"/>
        <v>1</v>
      </c>
      <c r="P15" s="102">
        <f t="shared" si="25"/>
        <v>0</v>
      </c>
      <c r="R15" s="101">
        <f t="shared" si="26"/>
        <v>1</v>
      </c>
      <c r="S15" s="102">
        <f t="shared" si="27"/>
        <v>0</v>
      </c>
      <c r="U15" s="101">
        <f t="shared" si="28"/>
        <v>1</v>
      </c>
      <c r="V15" s="102">
        <f t="shared" si="29"/>
        <v>0</v>
      </c>
      <c r="X15" s="101">
        <f t="shared" si="30"/>
        <v>1</v>
      </c>
      <c r="Y15" s="102">
        <f t="shared" si="31"/>
        <v>0</v>
      </c>
      <c r="AA15" s="101">
        <f t="shared" si="32"/>
        <v>1</v>
      </c>
      <c r="AB15" s="102">
        <f t="shared" si="33"/>
        <v>0</v>
      </c>
      <c r="AD15" s="101">
        <f t="shared" si="34"/>
        <v>1</v>
      </c>
      <c r="AE15" s="102">
        <f t="shared" si="35"/>
        <v>0</v>
      </c>
      <c r="AG15" s="101">
        <f t="shared" si="36"/>
        <v>1</v>
      </c>
      <c r="AH15" s="102">
        <f t="shared" si="37"/>
        <v>0</v>
      </c>
      <c r="AJ15" s="101">
        <f t="shared" si="38"/>
        <v>1</v>
      </c>
      <c r="AK15" s="102">
        <f t="shared" si="39"/>
        <v>0</v>
      </c>
      <c r="AM15" s="101">
        <f t="shared" si="40"/>
        <v>1</v>
      </c>
      <c r="AN15" s="102">
        <f t="shared" si="41"/>
        <v>0</v>
      </c>
      <c r="AP15" s="101">
        <f t="shared" si="42"/>
        <v>1</v>
      </c>
      <c r="AQ15" s="102">
        <f t="shared" si="43"/>
        <v>0</v>
      </c>
      <c r="AS15" s="101">
        <f t="shared" si="44"/>
        <v>1</v>
      </c>
      <c r="AT15" s="102">
        <f t="shared" si="45"/>
        <v>0</v>
      </c>
      <c r="AV15" s="101">
        <f t="shared" si="46"/>
        <v>1</v>
      </c>
      <c r="AW15" s="102">
        <f t="shared" si="47"/>
        <v>0</v>
      </c>
      <c r="AX15" s="112"/>
      <c r="AY15" s="113" t="str">
        <f t="shared" si="48"/>
        <v>Mithos Marauders</v>
      </c>
      <c r="AZ15" s="114">
        <f t="shared" si="49"/>
        <v>0</v>
      </c>
      <c r="BA15" s="114">
        <f t="shared" si="50"/>
        <v>1.5046296296295988E-4</v>
      </c>
      <c r="BB15" s="114">
        <f t="shared" si="51"/>
        <v>0</v>
      </c>
      <c r="BC15" s="114">
        <f t="shared" si="52"/>
        <v>2.314814814815408E-5</v>
      </c>
      <c r="BD15" s="114">
        <f t="shared" si="53"/>
        <v>0</v>
      </c>
      <c r="BE15" s="114">
        <f t="shared" si="54"/>
        <v>0</v>
      </c>
      <c r="BF15" s="114">
        <f t="shared" si="55"/>
        <v>0</v>
      </c>
      <c r="BG15" s="114">
        <f t="shared" si="56"/>
        <v>0</v>
      </c>
      <c r="BH15" s="114">
        <f t="shared" si="57"/>
        <v>0</v>
      </c>
      <c r="BI15" s="114">
        <f t="shared" si="58"/>
        <v>0</v>
      </c>
      <c r="BJ15" s="114">
        <f t="shared" si="59"/>
        <v>0</v>
      </c>
      <c r="BK15" s="114">
        <f t="shared" si="60"/>
        <v>0</v>
      </c>
      <c r="BL15" s="114">
        <f t="shared" si="61"/>
        <v>0</v>
      </c>
      <c r="BM15" s="114">
        <f t="shared" si="62"/>
        <v>0</v>
      </c>
      <c r="BN15" s="114">
        <f t="shared" si="63"/>
        <v>0</v>
      </c>
      <c r="BO15" s="114">
        <f t="shared" si="64"/>
        <v>0</v>
      </c>
    </row>
    <row r="16" spans="1:67" x14ac:dyDescent="0.2">
      <c r="C16" s="101">
        <f t="shared" si="16"/>
        <v>2</v>
      </c>
      <c r="D16" s="102">
        <f t="shared" si="17"/>
        <v>2.3148148148148182E-4</v>
      </c>
      <c r="F16" s="101">
        <f t="shared" si="18"/>
        <v>4</v>
      </c>
      <c r="G16" s="102">
        <f t="shared" si="19"/>
        <v>2.5462962962962549E-4</v>
      </c>
      <c r="I16" s="101">
        <f t="shared" si="20"/>
        <v>2</v>
      </c>
      <c r="J16" s="102">
        <f t="shared" si="21"/>
        <v>1.2731481481480927E-4</v>
      </c>
      <c r="L16" s="101">
        <f t="shared" si="22"/>
        <v>1</v>
      </c>
      <c r="M16" s="102">
        <f t="shared" si="23"/>
        <v>0</v>
      </c>
      <c r="O16" s="101">
        <f t="shared" si="24"/>
        <v>2</v>
      </c>
      <c r="P16" s="102">
        <f t="shared" si="25"/>
        <v>6.3657407407406719E-4</v>
      </c>
      <c r="R16" s="101">
        <f t="shared" si="26"/>
        <v>2</v>
      </c>
      <c r="S16" s="102">
        <f t="shared" si="27"/>
        <v>2.7777777777777263E-4</v>
      </c>
      <c r="U16" s="101">
        <f t="shared" si="28"/>
        <v>2</v>
      </c>
      <c r="V16" s="102">
        <f t="shared" si="29"/>
        <v>4.1666666666666241E-4</v>
      </c>
      <c r="X16" s="101">
        <f t="shared" si="30"/>
        <v>2</v>
      </c>
      <c r="Y16" s="102">
        <f t="shared" si="31"/>
        <v>2.7777777777777957E-4</v>
      </c>
      <c r="AA16" s="101">
        <f t="shared" si="32"/>
        <v>2</v>
      </c>
      <c r="AB16" s="102">
        <f t="shared" si="33"/>
        <v>5.3240740740739811E-4</v>
      </c>
      <c r="AD16" s="101">
        <f t="shared" si="34"/>
        <v>2</v>
      </c>
      <c r="AE16" s="102">
        <f t="shared" si="35"/>
        <v>5.5555555555554526E-4</v>
      </c>
      <c r="AG16" s="101">
        <f t="shared" si="36"/>
        <v>4</v>
      </c>
      <c r="AH16" s="102">
        <f t="shared" si="37"/>
        <v>3.414351851851849E-3</v>
      </c>
      <c r="AJ16" s="101">
        <f t="shared" si="38"/>
        <v>3</v>
      </c>
      <c r="AK16" s="102">
        <f t="shared" si="39"/>
        <v>4.2939814814814681E-3</v>
      </c>
      <c r="AM16" s="101">
        <f t="shared" si="40"/>
        <v>4</v>
      </c>
      <c r="AN16" s="102">
        <f t="shared" si="41"/>
        <v>4.0509259259259023E-3</v>
      </c>
      <c r="AP16" s="101">
        <f t="shared" si="42"/>
        <v>5</v>
      </c>
      <c r="AQ16" s="102">
        <f t="shared" si="43"/>
        <v>4.0162037037036746E-3</v>
      </c>
      <c r="AS16" s="101">
        <f t="shared" si="44"/>
        <v>5</v>
      </c>
      <c r="AT16" s="102">
        <f t="shared" si="45"/>
        <v>4.305555555555507E-3</v>
      </c>
      <c r="AV16" s="101">
        <f t="shared" si="46"/>
        <v>3</v>
      </c>
      <c r="AW16" s="102">
        <f t="shared" si="47"/>
        <v>4.2129629629629184E-3</v>
      </c>
      <c r="AX16" s="112"/>
      <c r="AY16" s="113" t="str">
        <f t="shared" si="48"/>
        <v>The Lost Blues</v>
      </c>
      <c r="AZ16" s="114">
        <f t="shared" si="49"/>
        <v>2.3148148148148182E-4</v>
      </c>
      <c r="BA16" s="114">
        <f t="shared" si="50"/>
        <v>2.5462962962962549E-4</v>
      </c>
      <c r="BB16" s="114">
        <f t="shared" si="51"/>
        <v>1.2731481481480927E-4</v>
      </c>
      <c r="BC16" s="114">
        <f t="shared" si="52"/>
        <v>0</v>
      </c>
      <c r="BD16" s="114">
        <f t="shared" si="53"/>
        <v>6.3657407407406719E-4</v>
      </c>
      <c r="BE16" s="114">
        <f t="shared" si="54"/>
        <v>2.7777777777777263E-4</v>
      </c>
      <c r="BF16" s="114">
        <f t="shared" si="55"/>
        <v>4.1666666666666241E-4</v>
      </c>
      <c r="BG16" s="114">
        <f t="shared" si="56"/>
        <v>2.7777777777777957E-4</v>
      </c>
      <c r="BH16" s="114">
        <f t="shared" si="57"/>
        <v>5.3240740740739811E-4</v>
      </c>
      <c r="BI16" s="114">
        <f t="shared" si="58"/>
        <v>5.5555555555554526E-4</v>
      </c>
      <c r="BJ16" s="114">
        <f t="shared" si="59"/>
        <v>3.414351851851849E-3</v>
      </c>
      <c r="BK16" s="114">
        <f t="shared" si="60"/>
        <v>4.2939814814814681E-3</v>
      </c>
      <c r="BL16" s="114">
        <f t="shared" si="61"/>
        <v>4.0509259259259023E-3</v>
      </c>
      <c r="BM16" s="114">
        <f t="shared" si="62"/>
        <v>4.0162037037036746E-3</v>
      </c>
      <c r="BN16" s="114">
        <f t="shared" si="63"/>
        <v>4.305555555555507E-3</v>
      </c>
      <c r="BO16" s="114">
        <f t="shared" si="64"/>
        <v>4.2129629629629184E-3</v>
      </c>
    </row>
    <row r="17" spans="3:67" x14ac:dyDescent="0.2">
      <c r="C17" s="101">
        <f t="shared" si="16"/>
        <v>6</v>
      </c>
      <c r="D17" s="102">
        <f t="shared" si="17"/>
        <v>2.1990740740740755E-3</v>
      </c>
      <c r="F17" s="101">
        <f t="shared" si="18"/>
        <v>6</v>
      </c>
      <c r="G17" s="102">
        <f t="shared" si="19"/>
        <v>1.8634259259259246E-3</v>
      </c>
      <c r="I17" s="101">
        <f t="shared" si="20"/>
        <v>5</v>
      </c>
      <c r="J17" s="102">
        <f t="shared" si="21"/>
        <v>1.2731481481481483E-3</v>
      </c>
      <c r="L17" s="101">
        <f t="shared" si="22"/>
        <v>6</v>
      </c>
      <c r="M17" s="102">
        <f t="shared" si="23"/>
        <v>1.331018518518523E-3</v>
      </c>
      <c r="O17" s="101">
        <f t="shared" si="24"/>
        <v>6</v>
      </c>
      <c r="P17" s="102">
        <f t="shared" si="25"/>
        <v>3.0439814814814808E-3</v>
      </c>
      <c r="R17" s="101">
        <f t="shared" si="26"/>
        <v>6</v>
      </c>
      <c r="S17" s="102">
        <f t="shared" si="27"/>
        <v>1.8171296296296269E-3</v>
      </c>
      <c r="U17" s="101">
        <f t="shared" si="28"/>
        <v>5</v>
      </c>
      <c r="V17" s="102">
        <f t="shared" si="29"/>
        <v>1.8981481481481488E-3</v>
      </c>
      <c r="X17" s="101">
        <f t="shared" si="30"/>
        <v>6</v>
      </c>
      <c r="Y17" s="102">
        <f t="shared" si="31"/>
        <v>2.0023148148148179E-3</v>
      </c>
      <c r="AA17" s="101">
        <f t="shared" si="32"/>
        <v>6</v>
      </c>
      <c r="AB17" s="102">
        <f t="shared" si="33"/>
        <v>4.2824074074074014E-3</v>
      </c>
      <c r="AD17" s="101">
        <f t="shared" si="34"/>
        <v>6</v>
      </c>
      <c r="AE17" s="102">
        <f t="shared" si="35"/>
        <v>4.9537037037036963E-3</v>
      </c>
      <c r="AG17" s="101">
        <f t="shared" si="36"/>
        <v>6</v>
      </c>
      <c r="AH17" s="102">
        <f t="shared" si="37"/>
        <v>6.4236111111111022E-3</v>
      </c>
      <c r="AJ17" s="101">
        <f t="shared" si="38"/>
        <v>6</v>
      </c>
      <c r="AK17" s="102">
        <f t="shared" si="39"/>
        <v>6.3310185185184997E-3</v>
      </c>
      <c r="AM17" s="101">
        <f t="shared" si="40"/>
        <v>6</v>
      </c>
      <c r="AN17" s="102">
        <f t="shared" si="41"/>
        <v>6.724537037037015E-3</v>
      </c>
      <c r="AP17" s="101">
        <f t="shared" si="42"/>
        <v>6</v>
      </c>
      <c r="AQ17" s="102">
        <f t="shared" si="43"/>
        <v>6.8634259259258978E-3</v>
      </c>
      <c r="AS17" s="101">
        <f t="shared" si="44"/>
        <v>6</v>
      </c>
      <c r="AT17" s="102">
        <f t="shared" si="45"/>
        <v>6.331018518518472E-3</v>
      </c>
      <c r="AV17" s="101">
        <f t="shared" si="46"/>
        <v>6</v>
      </c>
      <c r="AW17" s="102">
        <f t="shared" si="47"/>
        <v>6.921296296296231E-3</v>
      </c>
      <c r="AX17" s="112"/>
      <c r="AY17" s="113" t="str">
        <f t="shared" si="48"/>
        <v>Green with Envy</v>
      </c>
      <c r="AZ17" s="114">
        <f t="shared" si="49"/>
        <v>2.1990740740740755E-3</v>
      </c>
      <c r="BA17" s="114">
        <f t="shared" si="50"/>
        <v>1.8634259259259246E-3</v>
      </c>
      <c r="BB17" s="114">
        <f t="shared" si="51"/>
        <v>1.2731481481481483E-3</v>
      </c>
      <c r="BC17" s="114">
        <f t="shared" si="52"/>
        <v>1.331018518518523E-3</v>
      </c>
      <c r="BD17" s="114">
        <f t="shared" si="53"/>
        <v>3.0439814814814808E-3</v>
      </c>
      <c r="BE17" s="114">
        <f t="shared" si="54"/>
        <v>1.8171296296296269E-3</v>
      </c>
      <c r="BF17" s="114">
        <f t="shared" si="55"/>
        <v>1.8981481481481488E-3</v>
      </c>
      <c r="BG17" s="114">
        <f t="shared" si="56"/>
        <v>2.0023148148148179E-3</v>
      </c>
      <c r="BH17" s="114">
        <f t="shared" si="57"/>
        <v>4.2824074074074014E-3</v>
      </c>
      <c r="BI17" s="114">
        <f t="shared" si="58"/>
        <v>4.9537037037036963E-3</v>
      </c>
      <c r="BJ17" s="114">
        <f t="shared" si="59"/>
        <v>6.4236111111111022E-3</v>
      </c>
      <c r="BK17" s="114">
        <f t="shared" si="60"/>
        <v>6.3310185185184997E-3</v>
      </c>
      <c r="BL17" s="114">
        <f t="shared" si="61"/>
        <v>6.724537037037015E-3</v>
      </c>
      <c r="BM17" s="114">
        <f t="shared" si="62"/>
        <v>6.8634259259258978E-3</v>
      </c>
      <c r="BN17" s="114">
        <f t="shared" si="63"/>
        <v>6.331018518518472E-3</v>
      </c>
      <c r="BO17" s="114">
        <f t="shared" si="64"/>
        <v>6.921296296296231E-3</v>
      </c>
    </row>
  </sheetData>
  <phoneticPr fontId="0" type="noConversion"/>
  <pageMargins left="0.75" right="0.75" top="1" bottom="1" header="0.5" footer="0.5"/>
  <pageSetup paperSize="9" scale="1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42"/>
  <sheetViews>
    <sheetView showZeros="0" zoomScale="95" workbookViewId="0">
      <selection activeCell="R7" sqref="R7"/>
    </sheetView>
  </sheetViews>
  <sheetFormatPr defaultRowHeight="12.75" x14ac:dyDescent="0.2"/>
  <cols>
    <col min="1" max="1" width="3.7109375" style="2" customWidth="1"/>
    <col min="2" max="2" width="16.42578125" style="1" customWidth="1"/>
    <col min="3" max="3" width="5.7109375" style="2" customWidth="1"/>
    <col min="4" max="4" width="5.7109375" style="7" customWidth="1"/>
    <col min="5" max="5" width="5.7109375" style="3" customWidth="1"/>
    <col min="6" max="6" width="6.7109375" style="7" customWidth="1"/>
    <col min="7" max="7" width="1.7109375" style="1" customWidth="1"/>
    <col min="8" max="8" width="5.7109375" style="2" customWidth="1"/>
    <col min="9" max="9" width="5.7109375" style="7" customWidth="1"/>
    <col min="10" max="10" width="5.7109375" style="3" customWidth="1"/>
    <col min="11" max="11" width="6.7109375" style="7" customWidth="1"/>
    <col min="12" max="12" width="1.7109375" style="1" customWidth="1"/>
    <col min="13" max="13" width="5.7109375" style="2" customWidth="1"/>
    <col min="14" max="14" width="7.85546875" style="7" bestFit="1" customWidth="1"/>
    <col min="15" max="15" width="5.7109375" style="3" customWidth="1"/>
    <col min="16" max="16" width="6.7109375" style="7" customWidth="1"/>
    <col min="17" max="17" width="1.7109375" style="1" customWidth="1"/>
    <col min="18" max="18" width="5.7109375" style="2" customWidth="1"/>
    <col min="19" max="19" width="5.7109375" style="7" customWidth="1"/>
    <col min="20" max="20" width="5.7109375" style="3" customWidth="1"/>
    <col min="21" max="21" width="6.7109375" style="7" customWidth="1"/>
    <col min="22" max="22" width="1.7109375" style="1" customWidth="1"/>
    <col min="23" max="23" width="7.7109375" style="3" customWidth="1"/>
    <col min="24" max="25" width="7.7109375" style="7" customWidth="1"/>
    <col min="26" max="26" width="1.140625" style="1" customWidth="1"/>
    <col min="27" max="16384" width="9.140625" style="1"/>
  </cols>
  <sheetData>
    <row r="1" spans="1:27" s="6" customFormat="1" x14ac:dyDescent="0.2">
      <c r="A1" s="21"/>
      <c r="B1" s="22"/>
      <c r="C1" s="8" t="s">
        <v>33</v>
      </c>
      <c r="D1" s="14"/>
      <c r="E1" s="16"/>
      <c r="F1" s="18"/>
      <c r="G1" s="1"/>
      <c r="H1" s="8" t="s">
        <v>34</v>
      </c>
      <c r="I1" s="14"/>
      <c r="J1" s="16"/>
      <c r="K1" s="18"/>
      <c r="L1" s="1"/>
      <c r="M1" s="8" t="s">
        <v>35</v>
      </c>
      <c r="N1" s="14"/>
      <c r="O1" s="16"/>
      <c r="P1" s="18"/>
      <c r="Q1" s="1"/>
      <c r="R1" s="8" t="s">
        <v>36</v>
      </c>
      <c r="S1" s="14"/>
      <c r="T1" s="16"/>
      <c r="U1" s="18"/>
      <c r="W1" s="24" t="s">
        <v>39</v>
      </c>
      <c r="X1" s="23" t="s">
        <v>39</v>
      </c>
      <c r="Y1" s="23" t="s">
        <v>40</v>
      </c>
    </row>
    <row r="2" spans="1:27" x14ac:dyDescent="0.2">
      <c r="B2" s="158" t="s">
        <v>28</v>
      </c>
      <c r="C2" s="153" t="s">
        <v>11</v>
      </c>
      <c r="D2" s="23" t="s">
        <v>7</v>
      </c>
      <c r="E2" s="24" t="s">
        <v>32</v>
      </c>
      <c r="F2" s="23" t="s">
        <v>8</v>
      </c>
      <c r="H2" s="9" t="s">
        <v>11</v>
      </c>
      <c r="I2" s="15" t="s">
        <v>7</v>
      </c>
      <c r="J2" s="17" t="s">
        <v>32</v>
      </c>
      <c r="K2" s="15" t="s">
        <v>8</v>
      </c>
      <c r="M2" s="9" t="s">
        <v>11</v>
      </c>
      <c r="N2" s="15" t="s">
        <v>7</v>
      </c>
      <c r="O2" s="17" t="s">
        <v>32</v>
      </c>
      <c r="P2" s="15" t="s">
        <v>8</v>
      </c>
      <c r="R2" s="9" t="s">
        <v>11</v>
      </c>
      <c r="S2" s="15" t="s">
        <v>7</v>
      </c>
      <c r="T2" s="17" t="s">
        <v>32</v>
      </c>
      <c r="U2" s="15" t="s">
        <v>8</v>
      </c>
      <c r="W2" s="131" t="s">
        <v>38</v>
      </c>
      <c r="X2" s="132" t="s">
        <v>7</v>
      </c>
      <c r="Y2" s="132" t="s">
        <v>8</v>
      </c>
      <c r="AA2" s="2" t="s">
        <v>10</v>
      </c>
    </row>
    <row r="3" spans="1:27" x14ac:dyDescent="0.2">
      <c r="A3" s="4"/>
      <c r="B3" s="155" t="str">
        <f>+'Team Selection'!D3</f>
        <v>Simon Bevege</v>
      </c>
      <c r="C3" s="127">
        <f>VLOOKUP($B3&amp;"1",Data!$C:$G,2,FALSE)</f>
        <v>4</v>
      </c>
      <c r="D3" s="128">
        <f>VLOOKUP($B3&amp;"1",Data!$C:$G,4,FALSE)</f>
        <v>8.4953703703703701E-3</v>
      </c>
      <c r="E3" s="129">
        <f>VLOOKUP($B3&amp;"1",Data!$C:$G,5,FALSE)</f>
        <v>3.39</v>
      </c>
      <c r="F3" s="130">
        <f t="shared" ref="F3:F8" si="0">+D3/E3</f>
        <v>2.5060089588113186E-3</v>
      </c>
      <c r="H3" s="127">
        <f>VLOOKUP($B3&amp;"2",Data!$C:$G,2,FALSE)</f>
        <v>8</v>
      </c>
      <c r="I3" s="128">
        <f>VLOOKUP($B3&amp;"2",Data!$C:$G,4,FALSE)</f>
        <v>1.3275462962962963E-2</v>
      </c>
      <c r="J3" s="129">
        <f>VLOOKUP($B3&amp;"2",Data!$C:$G,5,FALSE)</f>
        <v>5</v>
      </c>
      <c r="K3" s="130">
        <f t="shared" ref="K3:K8" si="1">+I3/J3</f>
        <v>2.6550925925925926E-3</v>
      </c>
      <c r="M3" s="127">
        <f>VLOOKUP($B3&amp;"3",Data!$C:$G,2,FALSE)</f>
        <v>11</v>
      </c>
      <c r="N3" s="128">
        <f>VLOOKUP($B3&amp;"3",Data!$C:$G,4,FALSE)</f>
        <v>1.3564814814814816E-2</v>
      </c>
      <c r="O3" s="129">
        <f>VLOOKUP($B3&amp;"3",Data!$C:$G,5,FALSE)</f>
        <v>5.3</v>
      </c>
      <c r="P3" s="130">
        <f t="shared" ref="P3:P8" si="2">+N3/O3</f>
        <v>2.559399021663173E-3</v>
      </c>
      <c r="R3" s="127">
        <f>VLOOKUP($B3&amp;"4",Data!$C:$G,2,FALSE)</f>
        <v>13</v>
      </c>
      <c r="S3" s="128">
        <f>VLOOKUP($B3&amp;"4",Data!$C:$G,4,FALSE)</f>
        <v>1.2048611111111112E-2</v>
      </c>
      <c r="T3" s="129">
        <f>VLOOKUP($B3&amp;"4",Data!$C:$G,5,FALSE)</f>
        <v>4.5</v>
      </c>
      <c r="U3" s="130">
        <f t="shared" ref="U3:U8" si="3">+S3/T3</f>
        <v>2.6774691358024696E-3</v>
      </c>
      <c r="W3" s="133">
        <f t="shared" ref="W3:W8" si="4">SUM(E3,J3,O3,T3)</f>
        <v>18.190000000000001</v>
      </c>
      <c r="X3" s="152">
        <f t="shared" ref="X3:X8" si="5">SUM(D3,I3,N3,S3)</f>
        <v>4.7384259259259265E-2</v>
      </c>
      <c r="Y3" s="130">
        <f t="shared" ref="Y3:Y8" si="6">SUM(D3,I3,N3,S3)/W3</f>
        <v>2.6049620263474032E-3</v>
      </c>
      <c r="AA3" s="2">
        <f t="shared" ref="AA3:AA8" si="7">RANK(Y3,Y$3:Y$8,1)</f>
        <v>1</v>
      </c>
    </row>
    <row r="4" spans="1:27" x14ac:dyDescent="0.2">
      <c r="A4" s="4"/>
      <c r="B4" s="126" t="str">
        <f>+'Team Selection'!D4</f>
        <v>Mark Stodden</v>
      </c>
      <c r="C4" s="127">
        <f>VLOOKUP($B4&amp;"1",Data!$C:$G,2,FALSE)</f>
        <v>4</v>
      </c>
      <c r="D4" s="128">
        <f>VLOOKUP($B4&amp;"1",Data!$C:$G,4,FALSE)</f>
        <v>8.8773148148148153E-3</v>
      </c>
      <c r="E4" s="129">
        <f>VLOOKUP($B4&amp;"1",Data!$C:$G,5,FALSE)</f>
        <v>3.39</v>
      </c>
      <c r="F4" s="130">
        <f t="shared" si="0"/>
        <v>2.6186769365235444E-3</v>
      </c>
      <c r="H4" s="127">
        <f>VLOOKUP($B4&amp;"2",Data!$C:$G,2,FALSE)</f>
        <v>8</v>
      </c>
      <c r="I4" s="128">
        <f>VLOOKUP($B4&amp;"2",Data!$C:$G,4,FALSE)</f>
        <v>1.3935185185185184E-2</v>
      </c>
      <c r="J4" s="129">
        <f>VLOOKUP($B4&amp;"2",Data!$C:$G,5,FALSE)</f>
        <v>5</v>
      </c>
      <c r="K4" s="130">
        <f t="shared" si="1"/>
        <v>2.7870370370370367E-3</v>
      </c>
      <c r="M4" s="127">
        <f>VLOOKUP($B4&amp;"3",Data!$C:$G,2,FALSE)</f>
        <v>11</v>
      </c>
      <c r="N4" s="128">
        <f>VLOOKUP($B4&amp;"3",Data!$C:$G,4,FALSE)</f>
        <v>1.7210648148148149E-2</v>
      </c>
      <c r="O4" s="129">
        <f>VLOOKUP($B4&amp;"3",Data!$C:$G,5,FALSE)</f>
        <v>5.3</v>
      </c>
      <c r="P4" s="130">
        <f t="shared" si="2"/>
        <v>3.2472921034241791E-3</v>
      </c>
      <c r="R4" s="127">
        <f>VLOOKUP($B4&amp;"4",Data!$C:$G,2,FALSE)</f>
        <v>15</v>
      </c>
      <c r="S4" s="128">
        <f>VLOOKUP($B4&amp;"4",Data!$C:$G,4,FALSE)</f>
        <v>1.1215277777777777E-2</v>
      </c>
      <c r="T4" s="129">
        <f>VLOOKUP($B4&amp;"4",Data!$C:$G,5,FALSE)</f>
        <v>4.49</v>
      </c>
      <c r="U4" s="130">
        <f t="shared" si="3"/>
        <v>2.4978346943825783E-3</v>
      </c>
      <c r="W4" s="133">
        <f t="shared" si="4"/>
        <v>18.18</v>
      </c>
      <c r="X4" s="152">
        <f t="shared" si="5"/>
        <v>5.1238425925925923E-2</v>
      </c>
      <c r="Y4" s="130">
        <f t="shared" si="6"/>
        <v>2.8183952654524712E-3</v>
      </c>
      <c r="AA4" s="2">
        <f t="shared" si="7"/>
        <v>4</v>
      </c>
    </row>
    <row r="5" spans="1:27" x14ac:dyDescent="0.2">
      <c r="A5" s="4"/>
      <c r="B5" s="126" t="str">
        <f>+'Team Selection'!D5</f>
        <v>Richard Does</v>
      </c>
      <c r="C5" s="127">
        <f>VLOOKUP($B5&amp;"1",Data!$C:$G,2,FALSE)</f>
        <v>4</v>
      </c>
      <c r="D5" s="128">
        <f>VLOOKUP($B5&amp;"1",Data!$C:$G,4,FALSE)</f>
        <v>8.4143518518518517E-3</v>
      </c>
      <c r="E5" s="129">
        <f>VLOOKUP($B5&amp;"1",Data!$C:$G,5,FALSE)</f>
        <v>3.39</v>
      </c>
      <c r="F5" s="130">
        <f t="shared" si="0"/>
        <v>2.4821096908117556E-3</v>
      </c>
      <c r="H5" s="127">
        <f>VLOOKUP($B5&amp;"2",Data!$C:$G,2,FALSE)</f>
        <v>8</v>
      </c>
      <c r="I5" s="128">
        <f>VLOOKUP($B5&amp;"2",Data!$C:$G,4,FALSE)</f>
        <v>1.3321759259259261E-2</v>
      </c>
      <c r="J5" s="129">
        <f>VLOOKUP($B5&amp;"2",Data!$C:$G,5,FALSE)</f>
        <v>5</v>
      </c>
      <c r="K5" s="130">
        <f t="shared" si="1"/>
        <v>2.6643518518518522E-3</v>
      </c>
      <c r="M5" s="127">
        <f>VLOOKUP($B5&amp;"3",Data!$C:$G,2,FALSE)</f>
        <v>11</v>
      </c>
      <c r="N5" s="128">
        <f>VLOOKUP($B5&amp;"3",Data!$C:$G,4,FALSE)</f>
        <v>1.383101851851852E-2</v>
      </c>
      <c r="O5" s="129">
        <f>VLOOKUP($B5&amp;"3",Data!$C:$G,5,FALSE)</f>
        <v>5.3</v>
      </c>
      <c r="P5" s="130">
        <f t="shared" si="2"/>
        <v>2.609626135569532E-3</v>
      </c>
      <c r="R5" s="127">
        <f>VLOOKUP($B5&amp;"4",Data!$C:$G,2,FALSE)</f>
        <v>13</v>
      </c>
      <c r="S5" s="128">
        <f>VLOOKUP($B5&amp;"4",Data!$C:$G,4,FALSE)</f>
        <v>1.1944444444444445E-2</v>
      </c>
      <c r="T5" s="129">
        <f>VLOOKUP($B5&amp;"4",Data!$C:$G,5,FALSE)</f>
        <v>4.5</v>
      </c>
      <c r="U5" s="130">
        <f t="shared" si="3"/>
        <v>2.6543209876543211E-3</v>
      </c>
      <c r="W5" s="133">
        <f t="shared" si="4"/>
        <v>18.190000000000001</v>
      </c>
      <c r="X5" s="152">
        <f t="shared" si="5"/>
        <v>4.7511574074074074E-2</v>
      </c>
      <c r="Y5" s="130">
        <f t="shared" si="6"/>
        <v>2.6119611915378818E-3</v>
      </c>
      <c r="AA5" s="2">
        <f t="shared" si="7"/>
        <v>2</v>
      </c>
    </row>
    <row r="6" spans="1:27" x14ac:dyDescent="0.2">
      <c r="A6" s="4"/>
      <c r="B6" s="126" t="str">
        <f>+'Team Selection'!D6</f>
        <v>Anthony Mithen</v>
      </c>
      <c r="C6" s="127">
        <f>VLOOKUP($B6&amp;"1",Data!$C:$G,2,FALSE)</f>
        <v>4</v>
      </c>
      <c r="D6" s="128">
        <f>VLOOKUP($B6&amp;"1",Data!$C:$G,4,FALSE)</f>
        <v>8.9236111111111113E-3</v>
      </c>
      <c r="E6" s="129">
        <f>VLOOKUP($B6&amp;"1",Data!$C:$G,5,FALSE)</f>
        <v>3.39</v>
      </c>
      <c r="F6" s="130">
        <f t="shared" si="0"/>
        <v>2.632333661094723E-3</v>
      </c>
      <c r="H6" s="127">
        <f>VLOOKUP($B6&amp;"2",Data!$C:$G,2,FALSE)</f>
        <v>8</v>
      </c>
      <c r="I6" s="128">
        <f>VLOOKUP($B6&amp;"2",Data!$C:$G,4,FALSE)</f>
        <v>1.4340277777777776E-2</v>
      </c>
      <c r="J6" s="129">
        <f>VLOOKUP($B6&amp;"2",Data!$C:$G,5,FALSE)</f>
        <v>5</v>
      </c>
      <c r="K6" s="130">
        <f t="shared" si="1"/>
        <v>2.8680555555555551E-3</v>
      </c>
      <c r="M6" s="127">
        <f>VLOOKUP($B6&amp;"3",Data!$C:$G,2,FALSE)</f>
        <v>9</v>
      </c>
      <c r="N6" s="128">
        <f>VLOOKUP($B6&amp;"3",Data!$C:$G,4,FALSE)</f>
        <v>1.0393518518518519E-2</v>
      </c>
      <c r="O6" s="129">
        <f>VLOOKUP($B6&amp;"3",Data!$C:$G,5,FALSE)</f>
        <v>3.66</v>
      </c>
      <c r="P6" s="130">
        <f t="shared" si="2"/>
        <v>2.8397591580651689E-3</v>
      </c>
      <c r="R6" s="127">
        <f>VLOOKUP($B6&amp;"4",Data!$C:$G,2,FALSE)</f>
        <v>12</v>
      </c>
      <c r="S6" s="128">
        <f>VLOOKUP($B6&amp;"4",Data!$C:$G,4,FALSE)</f>
        <v>1.1851851851851851E-2</v>
      </c>
      <c r="T6" s="129">
        <f>VLOOKUP($B6&amp;"4",Data!$C:$G,5,FALSE)</f>
        <v>4.5</v>
      </c>
      <c r="U6" s="130">
        <f t="shared" si="3"/>
        <v>2.633744855967078E-3</v>
      </c>
      <c r="W6" s="133">
        <f t="shared" si="4"/>
        <v>16.55</v>
      </c>
      <c r="X6" s="152">
        <f t="shared" si="5"/>
        <v>4.5509259259259256E-2</v>
      </c>
      <c r="Y6" s="130">
        <f t="shared" si="6"/>
        <v>2.7498041848495018E-3</v>
      </c>
      <c r="AA6" s="2">
        <f t="shared" si="7"/>
        <v>3</v>
      </c>
    </row>
    <row r="7" spans="1:27" x14ac:dyDescent="0.2">
      <c r="A7" s="4"/>
      <c r="B7" s="126" t="str">
        <f>+'Team Selection'!D7</f>
        <v>David Alcock</v>
      </c>
      <c r="C7" s="127">
        <f>VLOOKUP($B7&amp;"1",Data!$C:$G,2,FALSE)</f>
        <v>4</v>
      </c>
      <c r="D7" s="128">
        <f>VLOOKUP($B7&amp;"1",Data!$C:$G,4,FALSE)</f>
        <v>8.773148148148148E-3</v>
      </c>
      <c r="E7" s="129">
        <f>VLOOKUP($B7&amp;"1",Data!$C:$G,5,FALSE)</f>
        <v>3.39</v>
      </c>
      <c r="F7" s="130">
        <f t="shared" si="0"/>
        <v>2.5879493062383918E-3</v>
      </c>
      <c r="H7" s="127">
        <f>VLOOKUP($B7&amp;"2",Data!$C:$G,2,FALSE)</f>
        <v>8</v>
      </c>
      <c r="I7" s="128">
        <f>VLOOKUP($B7&amp;"2",Data!$C:$G,4,FALSE)</f>
        <v>1.4201388888888888E-2</v>
      </c>
      <c r="J7" s="129">
        <f>VLOOKUP($B7&amp;"2",Data!$C:$G,5,FALSE)</f>
        <v>5</v>
      </c>
      <c r="K7" s="130">
        <f t="shared" si="1"/>
        <v>2.8402777777777775E-3</v>
      </c>
      <c r="M7" s="127">
        <f>VLOOKUP($B7&amp;"3",Data!$C:$G,2,FALSE)</f>
        <v>11</v>
      </c>
      <c r="N7" s="128">
        <f>VLOOKUP($B7&amp;"3",Data!$C:$G,4,FALSE)</f>
        <v>1.7210648148148149E-2</v>
      </c>
      <c r="O7" s="129">
        <f>VLOOKUP($B7&amp;"3",Data!$C:$G,5,FALSE)</f>
        <v>5.3</v>
      </c>
      <c r="P7" s="130">
        <f t="shared" si="2"/>
        <v>3.2472921034241791E-3</v>
      </c>
      <c r="R7" s="127">
        <f>VLOOKUP($B7&amp;"4",Data!$C:$G,2,FALSE)</f>
        <v>15</v>
      </c>
      <c r="S7" s="128">
        <f>VLOOKUP($B7&amp;"4",Data!$C:$G,4,FALSE)</f>
        <v>1.1631944444444445E-2</v>
      </c>
      <c r="T7" s="129">
        <f>VLOOKUP($B7&amp;"4",Data!$C:$G,5,FALSE)</f>
        <v>4.49</v>
      </c>
      <c r="U7" s="130">
        <f t="shared" si="3"/>
        <v>2.5906335065577829E-3</v>
      </c>
      <c r="W7" s="133">
        <f t="shared" si="4"/>
        <v>18.18</v>
      </c>
      <c r="X7" s="152">
        <f t="shared" si="5"/>
        <v>5.181712962962963E-2</v>
      </c>
      <c r="Y7" s="130">
        <f t="shared" si="6"/>
        <v>2.850227152344864E-3</v>
      </c>
      <c r="AA7" s="2">
        <f t="shared" si="7"/>
        <v>5</v>
      </c>
    </row>
    <row r="8" spans="1:27" x14ac:dyDescent="0.2">
      <c r="A8" s="4"/>
      <c r="B8" s="118" t="str">
        <f>+'Team Selection'!D8</f>
        <v>Rob Dalton</v>
      </c>
      <c r="C8" s="161">
        <f>VLOOKUP($B8&amp;"1",Data!$C:$G,2,FALSE)</f>
        <v>4</v>
      </c>
      <c r="D8" s="162">
        <f>VLOOKUP($B8&amp;"1",Data!$C:$G,4,FALSE)</f>
        <v>8.9583333333333338E-3</v>
      </c>
      <c r="E8" s="163">
        <f>VLOOKUP($B8&amp;"1",Data!$C:$G,5,FALSE)</f>
        <v>3.39</v>
      </c>
      <c r="F8" s="164">
        <f t="shared" si="0"/>
        <v>2.642576204523107E-3</v>
      </c>
      <c r="H8" s="161">
        <f>VLOOKUP($B8&amp;"2",Data!$C:$G,2,FALSE)</f>
        <v>8</v>
      </c>
      <c r="I8" s="162">
        <f>VLOOKUP($B8&amp;"2",Data!$C:$G,4,FALSE)</f>
        <v>1.4444444444444446E-2</v>
      </c>
      <c r="J8" s="163">
        <f>VLOOKUP($B8&amp;"2",Data!$C:$G,5,FALSE)</f>
        <v>5</v>
      </c>
      <c r="K8" s="164">
        <f t="shared" si="1"/>
        <v>2.8888888888888892E-3</v>
      </c>
      <c r="M8" s="161">
        <f>VLOOKUP($B8&amp;"3",Data!$C:$G,2,FALSE)</f>
        <v>11</v>
      </c>
      <c r="N8" s="162">
        <f>VLOOKUP($B8&amp;"3",Data!$C:$G,4,FALSE)</f>
        <v>1.5821759259259261E-2</v>
      </c>
      <c r="O8" s="163">
        <f>VLOOKUP($B8&amp;"3",Data!$C:$G,5,FALSE)</f>
        <v>5.3</v>
      </c>
      <c r="P8" s="164">
        <f t="shared" si="2"/>
        <v>2.9852375960866531E-3</v>
      </c>
      <c r="R8" s="161">
        <f>VLOOKUP($B8&amp;"4",Data!$C:$G,2,FALSE)</f>
        <v>13</v>
      </c>
      <c r="S8" s="162">
        <f>VLOOKUP($B8&amp;"4",Data!$C:$G,4,FALSE)</f>
        <v>1.3564814814814816E-2</v>
      </c>
      <c r="T8" s="163">
        <f>VLOOKUP($B8&amp;"4",Data!$C:$G,5,FALSE)</f>
        <v>4.5</v>
      </c>
      <c r="U8" s="164">
        <f t="shared" si="3"/>
        <v>3.0144032921810703E-3</v>
      </c>
      <c r="W8" s="165">
        <f t="shared" si="4"/>
        <v>18.190000000000001</v>
      </c>
      <c r="X8" s="166">
        <f t="shared" si="5"/>
        <v>5.2789351851851858E-2</v>
      </c>
      <c r="Y8" s="164">
        <f t="shared" si="6"/>
        <v>2.9021084030704703E-3</v>
      </c>
      <c r="AA8" s="2">
        <f t="shared" si="7"/>
        <v>6</v>
      </c>
    </row>
    <row r="9" spans="1:27" s="6" customFormat="1" x14ac:dyDescent="0.2">
      <c r="A9" s="5"/>
      <c r="C9" s="5"/>
      <c r="D9" s="10"/>
      <c r="E9" s="11"/>
      <c r="F9" s="10"/>
      <c r="H9" s="5"/>
      <c r="I9" s="10"/>
      <c r="J9" s="11"/>
      <c r="K9" s="10"/>
      <c r="M9" s="5"/>
      <c r="N9" s="10"/>
      <c r="O9" s="11"/>
      <c r="P9" s="10"/>
      <c r="R9" s="5"/>
      <c r="S9" s="10"/>
      <c r="T9" s="11"/>
      <c r="U9" s="10"/>
      <c r="W9" s="11"/>
      <c r="X9" s="10"/>
      <c r="Y9" s="10"/>
    </row>
    <row r="10" spans="1:27" s="6" customFormat="1" x14ac:dyDescent="0.2">
      <c r="A10" s="5"/>
      <c r="C10" s="5"/>
      <c r="D10" s="10"/>
      <c r="E10" s="11"/>
      <c r="F10" s="10"/>
      <c r="H10" s="5"/>
      <c r="I10" s="10"/>
      <c r="J10" s="11"/>
      <c r="K10" s="10"/>
      <c r="M10" s="5"/>
      <c r="N10" s="10"/>
      <c r="O10" s="11"/>
      <c r="P10" s="10"/>
      <c r="R10" s="5"/>
      <c r="S10" s="10"/>
      <c r="T10" s="11"/>
      <c r="U10" s="10"/>
      <c r="W10" s="24" t="s">
        <v>39</v>
      </c>
      <c r="X10" s="23" t="s">
        <v>39</v>
      </c>
      <c r="Y10" s="23" t="s">
        <v>40</v>
      </c>
    </row>
    <row r="11" spans="1:27" x14ac:dyDescent="0.2">
      <c r="B11" s="158" t="s">
        <v>29</v>
      </c>
      <c r="C11" s="154" t="s">
        <v>11</v>
      </c>
      <c r="D11" s="15" t="s">
        <v>7</v>
      </c>
      <c r="E11" s="17" t="s">
        <v>32</v>
      </c>
      <c r="F11" s="15" t="s">
        <v>8</v>
      </c>
      <c r="H11" s="9" t="s">
        <v>11</v>
      </c>
      <c r="I11" s="15" t="s">
        <v>7</v>
      </c>
      <c r="J11" s="17" t="s">
        <v>32</v>
      </c>
      <c r="K11" s="15" t="s">
        <v>8</v>
      </c>
      <c r="M11" s="9" t="s">
        <v>11</v>
      </c>
      <c r="N11" s="15" t="s">
        <v>7</v>
      </c>
      <c r="O11" s="17" t="s">
        <v>32</v>
      </c>
      <c r="P11" s="15" t="s">
        <v>8</v>
      </c>
      <c r="R11" s="9" t="s">
        <v>11</v>
      </c>
      <c r="S11" s="15" t="s">
        <v>7</v>
      </c>
      <c r="T11" s="17" t="s">
        <v>32</v>
      </c>
      <c r="U11" s="15" t="s">
        <v>8</v>
      </c>
      <c r="W11" s="20" t="s">
        <v>38</v>
      </c>
      <c r="X11" s="132" t="s">
        <v>7</v>
      </c>
      <c r="Y11" s="19" t="s">
        <v>8</v>
      </c>
    </row>
    <row r="12" spans="1:27" x14ac:dyDescent="0.2">
      <c r="A12" s="4"/>
      <c r="B12" s="156" t="str">
        <f>+'Team Selection'!F3</f>
        <v>Norval Hope</v>
      </c>
      <c r="C12" s="127">
        <f>VLOOKUP($B12&amp;"1",Data!$C:$G,2,FALSE)</f>
        <v>2</v>
      </c>
      <c r="D12" s="128">
        <f>VLOOKUP($B12&amp;"1",Data!$C:$G,4,FALSE)</f>
        <v>9.5601851851851855E-3</v>
      </c>
      <c r="E12" s="129">
        <f>VLOOKUP($B12&amp;"1",Data!$C:$G,5,FALSE)</f>
        <v>3.39</v>
      </c>
      <c r="F12" s="130">
        <f t="shared" ref="F12:F17" si="8">+D12/E12</f>
        <v>2.8201136239484324E-3</v>
      </c>
      <c r="H12" s="127">
        <f>VLOOKUP($B12&amp;"2",Data!$C:$G,2,FALSE)</f>
        <v>6</v>
      </c>
      <c r="I12" s="128">
        <f>VLOOKUP($B12&amp;"2",Data!$C:$G,4,FALSE)</f>
        <v>1.1203703703703704E-2</v>
      </c>
      <c r="J12" s="129">
        <f>VLOOKUP($B12&amp;"2",Data!$C:$G,5,FALSE)</f>
        <v>4.2699999999999996</v>
      </c>
      <c r="K12" s="130">
        <f t="shared" ref="K12:K17" si="9">+I12/J12</f>
        <v>2.6238181975886898E-3</v>
      </c>
      <c r="M12" s="127">
        <f>VLOOKUP($B12&amp;"3",Data!$C:$G,2,FALSE)</f>
        <v>9</v>
      </c>
      <c r="N12" s="128">
        <f>VLOOKUP($B12&amp;"3",Data!$C:$G,4,FALSE)</f>
        <v>1.1331018518518518E-2</v>
      </c>
      <c r="O12" s="129">
        <f>VLOOKUP($B12&amp;"3",Data!$C:$G,5,FALSE)</f>
        <v>3.66</v>
      </c>
      <c r="P12" s="130">
        <f t="shared" ref="P12:P17" si="10">+N12/O12</f>
        <v>3.0959066990487753E-3</v>
      </c>
      <c r="R12" s="127">
        <f>VLOOKUP($B12&amp;"4",Data!$C:$G,2,FALSE)</f>
        <v>14</v>
      </c>
      <c r="S12" s="128">
        <f>VLOOKUP($B12&amp;"4",Data!$C:$G,4,FALSE)</f>
        <v>1.1597222222222222E-2</v>
      </c>
      <c r="T12" s="129">
        <f>VLOOKUP($B12&amp;"4",Data!$C:$G,5,FALSE)</f>
        <v>4.21</v>
      </c>
      <c r="U12" s="130">
        <f t="shared" ref="U12:U17" si="11">+S12/T12</f>
        <v>2.754684613354447E-3</v>
      </c>
      <c r="W12" s="133">
        <f t="shared" ref="W12:W17" si="12">SUM(E12,J12,O12,T12)</f>
        <v>15.530000000000001</v>
      </c>
      <c r="X12" s="152">
        <f t="shared" ref="X12:X17" si="13">SUM(D12,I12,N12,S12)</f>
        <v>4.3692129629629629E-2</v>
      </c>
      <c r="Y12" s="130">
        <f t="shared" ref="Y12:Y17" si="14">SUM(D12,I12,N12,S12)/W12</f>
        <v>2.8134017791133048E-3</v>
      </c>
      <c r="AA12" s="2">
        <f t="shared" ref="AA12:AA17" si="15">RANK(Y12,Y$12:Y$17,1)</f>
        <v>5</v>
      </c>
    </row>
    <row r="13" spans="1:27" x14ac:dyDescent="0.2">
      <c r="A13" s="4"/>
      <c r="B13" s="118" t="str">
        <f>+'Team Selection'!F4</f>
        <v>Glenn Goodman</v>
      </c>
      <c r="C13" s="127">
        <f>VLOOKUP($B13&amp;"1",Data!$C:$G,2,FALSE)</f>
        <v>1</v>
      </c>
      <c r="D13" s="128">
        <f>VLOOKUP($B13&amp;"1",Data!$C:$G,4,FALSE)</f>
        <v>9.2592592592592605E-3</v>
      </c>
      <c r="E13" s="129">
        <f>VLOOKUP($B13&amp;"1",Data!$C:$G,5,FALSE)</f>
        <v>3.39</v>
      </c>
      <c r="F13" s="130">
        <f t="shared" si="8"/>
        <v>2.7313449142357701E-3</v>
      </c>
      <c r="H13" s="127">
        <f>VLOOKUP($B13&amp;"2",Data!$C:$G,2,FALSE)</f>
        <v>5</v>
      </c>
      <c r="I13" s="128">
        <f>VLOOKUP($B13&amp;"2",Data!$C:$G,4,FALSE)</f>
        <v>1.2326388888888888E-2</v>
      </c>
      <c r="J13" s="129">
        <f>VLOOKUP($B13&amp;"2",Data!$C:$G,5,FALSE)</f>
        <v>4</v>
      </c>
      <c r="K13" s="130">
        <f t="shared" si="9"/>
        <v>3.0815972222222221E-3</v>
      </c>
      <c r="M13" s="127">
        <f>VLOOKUP($B13&amp;"3",Data!$C:$G,2,FALSE)</f>
        <v>12</v>
      </c>
      <c r="N13" s="128">
        <f>VLOOKUP($B13&amp;"3",Data!$C:$G,4,FALSE)</f>
        <v>1.230324074074074E-2</v>
      </c>
      <c r="O13" s="129">
        <f>VLOOKUP($B13&amp;"3",Data!$C:$G,5,FALSE)</f>
        <v>4.5</v>
      </c>
      <c r="P13" s="130">
        <f t="shared" si="10"/>
        <v>2.7340534979423867E-3</v>
      </c>
      <c r="R13" s="127">
        <f>VLOOKUP($B13&amp;"4",Data!$C:$G,2,FALSE)</f>
        <v>14</v>
      </c>
      <c r="S13" s="128">
        <f>VLOOKUP($B13&amp;"4",Data!$C:$G,4,FALSE)</f>
        <v>1.1064814814814814E-2</v>
      </c>
      <c r="T13" s="129">
        <f>VLOOKUP($B13&amp;"4",Data!$C:$G,5,FALSE)</f>
        <v>4.21</v>
      </c>
      <c r="U13" s="130">
        <f t="shared" si="11"/>
        <v>2.6282220462743025E-3</v>
      </c>
      <c r="W13" s="133">
        <f t="shared" si="12"/>
        <v>16.100000000000001</v>
      </c>
      <c r="X13" s="152">
        <f t="shared" si="13"/>
        <v>4.4953703703703697E-2</v>
      </c>
      <c r="Y13" s="130">
        <f t="shared" si="14"/>
        <v>2.7921555095468133E-3</v>
      </c>
      <c r="AA13" s="2">
        <f t="shared" si="15"/>
        <v>4</v>
      </c>
    </row>
    <row r="14" spans="1:27" x14ac:dyDescent="0.2">
      <c r="A14" s="4"/>
      <c r="B14" s="118" t="str">
        <f>+'Team Selection'!F5</f>
        <v>Ewen Vowels</v>
      </c>
      <c r="C14" s="127">
        <f>VLOOKUP($B14&amp;"1",Data!$C:$G,2,FALSE)</f>
        <v>2</v>
      </c>
      <c r="D14" s="128">
        <f>VLOOKUP($B14&amp;"1",Data!$C:$G,4,FALSE)</f>
        <v>9.1666666666666667E-3</v>
      </c>
      <c r="E14" s="129">
        <f>VLOOKUP($B14&amp;"1",Data!$C:$G,5,FALSE)</f>
        <v>3.39</v>
      </c>
      <c r="F14" s="130">
        <f t="shared" si="8"/>
        <v>2.7040314650934121E-3</v>
      </c>
      <c r="H14" s="127">
        <f>VLOOKUP($B14&amp;"2",Data!$C:$G,2,FALSE)</f>
        <v>6</v>
      </c>
      <c r="I14" s="128">
        <f>VLOOKUP($B14&amp;"2",Data!$C:$G,4,FALSE)</f>
        <v>1.0937500000000001E-2</v>
      </c>
      <c r="J14" s="129">
        <f>VLOOKUP($B14&amp;"2",Data!$C:$G,5,FALSE)</f>
        <v>4.2699999999999996</v>
      </c>
      <c r="K14" s="130">
        <f t="shared" si="9"/>
        <v>2.5614754098360662E-3</v>
      </c>
      <c r="M14" s="127">
        <f>VLOOKUP($B14&amp;"3",Data!$C:$G,2,FALSE)</f>
        <v>12</v>
      </c>
      <c r="N14" s="128">
        <f>VLOOKUP($B14&amp;"3",Data!$C:$G,4,FALSE)</f>
        <v>1.3784722222222224E-2</v>
      </c>
      <c r="O14" s="129">
        <f>VLOOKUP($B14&amp;"3",Data!$C:$G,5,FALSE)</f>
        <v>4.5</v>
      </c>
      <c r="P14" s="130">
        <f t="shared" si="10"/>
        <v>3.063271604938272E-3</v>
      </c>
      <c r="R14" s="127">
        <f>VLOOKUP($B14&amp;"4",Data!$C:$G,2,FALSE)</f>
        <v>15</v>
      </c>
      <c r="S14" s="128">
        <f>VLOOKUP($B14&amp;"4",Data!$C:$G,4,FALSE)</f>
        <v>1.1249999999999998E-2</v>
      </c>
      <c r="T14" s="129">
        <f>VLOOKUP($B14&amp;"4",Data!$C:$G,5,FALSE)</f>
        <v>4.49</v>
      </c>
      <c r="U14" s="130">
        <f t="shared" si="11"/>
        <v>2.5055679287305115E-3</v>
      </c>
      <c r="W14" s="133">
        <f t="shared" si="12"/>
        <v>16.649999999999999</v>
      </c>
      <c r="X14" s="152">
        <f t="shared" si="13"/>
        <v>4.5138888888888888E-2</v>
      </c>
      <c r="Y14" s="130">
        <f t="shared" si="14"/>
        <v>2.7110443777110444E-3</v>
      </c>
      <c r="AA14" s="2">
        <f t="shared" si="15"/>
        <v>3</v>
      </c>
    </row>
    <row r="15" spans="1:27" x14ac:dyDescent="0.2">
      <c r="A15" s="4"/>
      <c r="B15" s="118" t="str">
        <f>+'Team Selection'!F6</f>
        <v>Chris Wright</v>
      </c>
      <c r="C15" s="127">
        <f>VLOOKUP($B15&amp;"1",Data!$C:$G,2,FALSE)</f>
        <v>1</v>
      </c>
      <c r="D15" s="128">
        <f>VLOOKUP($B15&amp;"1",Data!$C:$G,4,FALSE)</f>
        <v>8.9467592592592585E-3</v>
      </c>
      <c r="E15" s="129">
        <f>VLOOKUP($B15&amp;"1",Data!$C:$G,5,FALSE)</f>
        <v>3.39</v>
      </c>
      <c r="F15" s="130">
        <f t="shared" si="8"/>
        <v>2.639162023380312E-3</v>
      </c>
      <c r="H15" s="127">
        <f>VLOOKUP($B15&amp;"2",Data!$C:$G,2,FALSE)</f>
        <v>5</v>
      </c>
      <c r="I15" s="128">
        <f>VLOOKUP($B15&amp;"2",Data!$C:$G,4,FALSE)</f>
        <v>1.1493055555555555E-2</v>
      </c>
      <c r="J15" s="129">
        <f>VLOOKUP($B15&amp;"2",Data!$C:$G,5,FALSE)</f>
        <v>4</v>
      </c>
      <c r="K15" s="130">
        <f t="shared" si="9"/>
        <v>2.8732638888888887E-3</v>
      </c>
      <c r="M15" s="127">
        <f>VLOOKUP($B15&amp;"3",Data!$C:$G,2,FALSE)</f>
        <v>11</v>
      </c>
      <c r="N15" s="128">
        <f>VLOOKUP($B15&amp;"3",Data!$C:$G,4,FALSE)</f>
        <v>1.4351851851851852E-2</v>
      </c>
      <c r="O15" s="129">
        <f>VLOOKUP($B15&amp;"3",Data!$C:$G,5,FALSE)</f>
        <v>5.3</v>
      </c>
      <c r="P15" s="130">
        <f t="shared" si="10"/>
        <v>2.7078965758211043E-3</v>
      </c>
      <c r="R15" s="127">
        <f>VLOOKUP($B15&amp;"4",Data!$C:$G,2,FALSE)</f>
        <v>15</v>
      </c>
      <c r="S15" s="128">
        <f>VLOOKUP($B15&amp;"4",Data!$C:$G,4,FALSE)</f>
        <v>1.1342592592592592E-2</v>
      </c>
      <c r="T15" s="129">
        <f>VLOOKUP($B15&amp;"4",Data!$C:$G,5,FALSE)</f>
        <v>4.49</v>
      </c>
      <c r="U15" s="130">
        <f t="shared" si="11"/>
        <v>2.5261898869916683E-3</v>
      </c>
      <c r="W15" s="133">
        <f t="shared" si="12"/>
        <v>17.18</v>
      </c>
      <c r="X15" s="152">
        <f t="shared" si="13"/>
        <v>4.6134259259259257E-2</v>
      </c>
      <c r="Y15" s="130">
        <f t="shared" si="14"/>
        <v>2.6853468719010044E-3</v>
      </c>
      <c r="AA15" s="2">
        <f t="shared" si="15"/>
        <v>2</v>
      </c>
    </row>
    <row r="16" spans="1:27" x14ac:dyDescent="0.2">
      <c r="A16" s="4"/>
      <c r="B16" s="118" t="str">
        <f>+'Team Selection'!F7</f>
        <v>Glenn Carroll</v>
      </c>
      <c r="C16" s="127">
        <f>VLOOKUP($B16&amp;"1",Data!$C:$G,2,FALSE)</f>
        <v>1</v>
      </c>
      <c r="D16" s="128">
        <f>VLOOKUP($B16&amp;"1",Data!$C:$G,4,FALSE)</f>
        <v>9.1782407407407403E-3</v>
      </c>
      <c r="E16" s="129">
        <f>VLOOKUP($B16&amp;"1",Data!$C:$G,5,FALSE)</f>
        <v>3.39</v>
      </c>
      <c r="F16" s="130">
        <f t="shared" si="8"/>
        <v>2.7074456462362066E-3</v>
      </c>
      <c r="H16" s="127">
        <f>VLOOKUP($B16&amp;"2",Data!$C:$G,2,FALSE)</f>
        <v>5</v>
      </c>
      <c r="I16" s="128">
        <f>VLOOKUP($B16&amp;"2",Data!$C:$G,4,FALSE)</f>
        <v>1.2152777777777778E-2</v>
      </c>
      <c r="J16" s="129">
        <f>VLOOKUP($B16&amp;"2",Data!$C:$G,5,FALSE)</f>
        <v>4</v>
      </c>
      <c r="K16" s="130">
        <f t="shared" si="9"/>
        <v>3.0381944444444445E-3</v>
      </c>
      <c r="M16" s="127">
        <f>VLOOKUP($B16&amp;"3",Data!$C:$G,2,FALSE)</f>
        <v>9</v>
      </c>
      <c r="N16" s="152">
        <f>VLOOKUP($B16&amp;"3",Data!$C:$G,4,FALSE)</f>
        <v>1.064814814814815E-2</v>
      </c>
      <c r="O16" s="129">
        <f>VLOOKUP($B16&amp;"3",Data!$C:$G,5,FALSE)</f>
        <v>3.66</v>
      </c>
      <c r="P16" s="130">
        <f t="shared" si="10"/>
        <v>2.909330095122445E-3</v>
      </c>
      <c r="R16" s="127">
        <f>VLOOKUP($B16&amp;"4",Data!$C:$G,2,FALSE)</f>
        <v>13</v>
      </c>
      <c r="S16" s="128">
        <f>VLOOKUP($B16&amp;"4",Data!$C:$G,4,FALSE)</f>
        <v>1.292824074074074E-2</v>
      </c>
      <c r="T16" s="129">
        <f>VLOOKUP($B16&amp;"4",Data!$C:$G,5,FALSE)</f>
        <v>4.5</v>
      </c>
      <c r="U16" s="130">
        <f t="shared" si="11"/>
        <v>2.8729423868312756E-3</v>
      </c>
      <c r="W16" s="133">
        <f t="shared" si="12"/>
        <v>15.55</v>
      </c>
      <c r="X16" s="152">
        <f t="shared" si="13"/>
        <v>4.490740740740741E-2</v>
      </c>
      <c r="Y16" s="130">
        <f t="shared" si="14"/>
        <v>2.887936167678933E-3</v>
      </c>
      <c r="AA16" s="2">
        <f t="shared" si="15"/>
        <v>6</v>
      </c>
    </row>
    <row r="17" spans="1:27" x14ac:dyDescent="0.2">
      <c r="A17" s="4"/>
      <c r="B17" s="118" t="str">
        <f>+'Team Selection'!F8</f>
        <v>Nick Turner</v>
      </c>
      <c r="C17" s="161">
        <f>VLOOKUP($B17&amp;"1",Data!$C:$G,2,FALSE)</f>
        <v>2</v>
      </c>
      <c r="D17" s="162">
        <f>VLOOKUP($B17&amp;"1",Data!$C:$G,4,FALSE)</f>
        <v>9.1782407407407403E-3</v>
      </c>
      <c r="E17" s="163">
        <f>VLOOKUP($B17&amp;"1",Data!$C:$G,5,FALSE)</f>
        <v>3.39</v>
      </c>
      <c r="F17" s="164">
        <f t="shared" si="8"/>
        <v>2.7074456462362066E-3</v>
      </c>
      <c r="H17" s="161">
        <f>VLOOKUP($B17&amp;"2",Data!$C:$G,2,FALSE)</f>
        <v>6</v>
      </c>
      <c r="I17" s="162">
        <f>VLOOKUP($B17&amp;"2",Data!$C:$G,4,FALSE)</f>
        <v>1.0219907407407408E-2</v>
      </c>
      <c r="J17" s="163">
        <f>VLOOKUP($B17&amp;"2",Data!$C:$G,5,FALSE)</f>
        <v>4.2699999999999996</v>
      </c>
      <c r="K17" s="164">
        <f t="shared" si="9"/>
        <v>2.3934209385029063E-3</v>
      </c>
      <c r="M17" s="161">
        <f>VLOOKUP($B17&amp;"3",Data!$C:$G,2,FALSE)</f>
        <v>12</v>
      </c>
      <c r="N17" s="162">
        <f>VLOOKUP($B17&amp;"3",Data!$C:$G,4,FALSE)</f>
        <v>1.1759259259259259E-2</v>
      </c>
      <c r="O17" s="163">
        <f>VLOOKUP($B17&amp;"3",Data!$C:$G,5,FALSE)</f>
        <v>4.5</v>
      </c>
      <c r="P17" s="164">
        <f t="shared" si="10"/>
        <v>2.6131687242798352E-3</v>
      </c>
      <c r="R17" s="161">
        <f>VLOOKUP($B17&amp;"4",Data!$C:$G,2,FALSE)</f>
        <v>15</v>
      </c>
      <c r="S17" s="162">
        <f>VLOOKUP($B17&amp;"4",Data!$C:$G,4,FALSE)</f>
        <v>1.0810185185185185E-2</v>
      </c>
      <c r="T17" s="163">
        <f>VLOOKUP($B17&amp;"4",Data!$C:$G,5,FALSE)</f>
        <v>4.49</v>
      </c>
      <c r="U17" s="164">
        <f t="shared" si="11"/>
        <v>2.4076136269900188E-3</v>
      </c>
      <c r="W17" s="165">
        <f t="shared" si="12"/>
        <v>16.649999999999999</v>
      </c>
      <c r="X17" s="166">
        <f t="shared" si="13"/>
        <v>4.1967592592592598E-2</v>
      </c>
      <c r="Y17" s="164">
        <f t="shared" si="14"/>
        <v>2.5205761316872432E-3</v>
      </c>
      <c r="AA17" s="2">
        <f t="shared" si="15"/>
        <v>1</v>
      </c>
    </row>
    <row r="18" spans="1:27" x14ac:dyDescent="0.2">
      <c r="A18" s="5"/>
      <c r="B18" s="6"/>
      <c r="C18" s="5"/>
      <c r="D18" s="10"/>
      <c r="E18" s="11"/>
      <c r="F18" s="10"/>
      <c r="G18" s="6"/>
      <c r="H18" s="5"/>
      <c r="I18" s="10"/>
      <c r="J18" s="11"/>
      <c r="K18" s="10"/>
      <c r="L18" s="6"/>
      <c r="M18" s="5"/>
      <c r="N18" s="10"/>
      <c r="O18" s="11"/>
      <c r="P18" s="10"/>
      <c r="Q18" s="6"/>
      <c r="R18" s="5"/>
      <c r="S18" s="10"/>
      <c r="T18" s="11"/>
      <c r="U18" s="10"/>
      <c r="X18" s="10"/>
      <c r="Y18" s="10"/>
    </row>
    <row r="19" spans="1:27" x14ac:dyDescent="0.2">
      <c r="A19" s="5"/>
      <c r="B19" s="6"/>
      <c r="C19" s="5"/>
      <c r="D19" s="10"/>
      <c r="E19" s="11"/>
      <c r="F19" s="10"/>
      <c r="G19" s="6"/>
      <c r="H19" s="5"/>
      <c r="I19" s="10"/>
      <c r="J19" s="11"/>
      <c r="K19" s="10"/>
      <c r="L19" s="6"/>
      <c r="M19" s="5"/>
      <c r="N19" s="10"/>
      <c r="O19" s="11"/>
      <c r="P19" s="10"/>
      <c r="Q19" s="6"/>
      <c r="R19" s="5"/>
      <c r="S19" s="10"/>
      <c r="T19" s="11"/>
      <c r="U19" s="10"/>
      <c r="W19" s="24" t="s">
        <v>39</v>
      </c>
      <c r="X19" s="23" t="s">
        <v>39</v>
      </c>
      <c r="Y19" s="23" t="s">
        <v>40</v>
      </c>
    </row>
    <row r="20" spans="1:27" x14ac:dyDescent="0.2">
      <c r="B20" s="158" t="s">
        <v>30</v>
      </c>
      <c r="C20" s="154" t="s">
        <v>11</v>
      </c>
      <c r="D20" s="15" t="s">
        <v>7</v>
      </c>
      <c r="E20" s="17" t="s">
        <v>32</v>
      </c>
      <c r="F20" s="15" t="s">
        <v>8</v>
      </c>
      <c r="H20" s="9" t="s">
        <v>11</v>
      </c>
      <c r="I20" s="15" t="s">
        <v>7</v>
      </c>
      <c r="J20" s="17" t="s">
        <v>32</v>
      </c>
      <c r="K20" s="15" t="s">
        <v>8</v>
      </c>
      <c r="M20" s="9" t="s">
        <v>11</v>
      </c>
      <c r="N20" s="15" t="s">
        <v>7</v>
      </c>
      <c r="O20" s="17" t="s">
        <v>32</v>
      </c>
      <c r="P20" s="15" t="s">
        <v>8</v>
      </c>
      <c r="R20" s="9" t="s">
        <v>11</v>
      </c>
      <c r="S20" s="15" t="s">
        <v>7</v>
      </c>
      <c r="T20" s="17" t="s">
        <v>32</v>
      </c>
      <c r="U20" s="15" t="s">
        <v>8</v>
      </c>
      <c r="W20" s="20" t="s">
        <v>38</v>
      </c>
      <c r="X20" s="132" t="s">
        <v>7</v>
      </c>
      <c r="Y20" s="19" t="s">
        <v>8</v>
      </c>
    </row>
    <row r="21" spans="1:27" x14ac:dyDescent="0.2">
      <c r="A21" s="4"/>
      <c r="B21" s="156" t="str">
        <f>+'Team Selection'!H3</f>
        <v>Thai Phan</v>
      </c>
      <c r="C21" s="127">
        <f>VLOOKUP($B21&amp;"1",Data!$C:$G,2,FALSE)</f>
        <v>1</v>
      </c>
      <c r="D21" s="128">
        <f>VLOOKUP($B21&amp;"1",Data!$C:$G,4,FALSE)</f>
        <v>9.2361111111111116E-3</v>
      </c>
      <c r="E21" s="129">
        <f>VLOOKUP($B21&amp;"1",Data!$C:$G,5,FALSE)</f>
        <v>3.39</v>
      </c>
      <c r="F21" s="130">
        <f t="shared" ref="F21:F26" si="16">+D21/E21</f>
        <v>2.7245165519501802E-3</v>
      </c>
      <c r="H21" s="127">
        <f>VLOOKUP($B21&amp;"2",Data!$C:$G,2,FALSE)</f>
        <v>5</v>
      </c>
      <c r="I21" s="128">
        <f>VLOOKUP($B21&amp;"2",Data!$C:$G,4,FALSE)</f>
        <v>1.2210648148148146E-2</v>
      </c>
      <c r="J21" s="129">
        <f>VLOOKUP($B21&amp;"2",Data!$C:$G,5,FALSE)</f>
        <v>4</v>
      </c>
      <c r="K21" s="130">
        <f t="shared" ref="K21:K26" si="17">+I21/J21</f>
        <v>3.0526620370370365E-3</v>
      </c>
      <c r="M21" s="127">
        <f>VLOOKUP($B21&amp;"3",Data!$C:$G,2,FALSE)</f>
        <v>12</v>
      </c>
      <c r="N21" s="128">
        <f>VLOOKUP($B21&amp;"3",Data!$C:$G,4,FALSE)</f>
        <v>1.2893518518518519E-2</v>
      </c>
      <c r="O21" s="129">
        <f>VLOOKUP($B21&amp;"3",Data!$C:$G,5,FALSE)</f>
        <v>4.5</v>
      </c>
      <c r="P21" s="130">
        <f t="shared" ref="P21:P26" si="18">+N21/O21</f>
        <v>2.8652263374485598E-3</v>
      </c>
      <c r="R21" s="127">
        <f>VLOOKUP($B21&amp;"4",Data!$C:$G,2,FALSE)</f>
        <v>15</v>
      </c>
      <c r="S21" s="128">
        <f>VLOOKUP($B21&amp;"4",Data!$C:$G,4,FALSE)</f>
        <v>1.1377314814814814E-2</v>
      </c>
      <c r="T21" s="129">
        <f>VLOOKUP($B21&amp;"4",Data!$C:$G,5,FALSE)</f>
        <v>4.49</v>
      </c>
      <c r="U21" s="130">
        <f t="shared" ref="U21:U26" si="19">+S21/T21</f>
        <v>2.533923121339602E-3</v>
      </c>
      <c r="W21" s="133">
        <f t="shared" ref="W21:W26" si="20">SUM(E21,J21,O21,T21)</f>
        <v>16.380000000000003</v>
      </c>
      <c r="X21" s="151">
        <f t="shared" ref="X21:X26" si="21">SUM(D21,I21,N21,S21)</f>
        <v>4.5717592592592587E-2</v>
      </c>
      <c r="Y21" s="130">
        <f t="shared" ref="Y21:Y26" si="22">SUM(D21,I21,N21,S21)/W21</f>
        <v>2.791061818839596E-3</v>
      </c>
      <c r="AA21" s="2">
        <f t="shared" ref="AA21:AA26" si="23">RANK(Y21,Y$21:Y$26,1)</f>
        <v>2</v>
      </c>
    </row>
    <row r="22" spans="1:27" x14ac:dyDescent="0.2">
      <c r="A22" s="4"/>
      <c r="B22" s="118" t="str">
        <f>+'Team Selection'!H4</f>
        <v>Shane Kent</v>
      </c>
      <c r="C22" s="127">
        <f>VLOOKUP($B22&amp;"1",Data!$C:$G,2,FALSE)</f>
        <v>2</v>
      </c>
      <c r="D22" s="128">
        <f>VLOOKUP($B22&amp;"1",Data!$C:$G,4,FALSE)</f>
        <v>9.2013888888888892E-3</v>
      </c>
      <c r="E22" s="129">
        <f>VLOOKUP($B22&amp;"1",Data!$C:$G,5,FALSE)</f>
        <v>3.39</v>
      </c>
      <c r="F22" s="130">
        <f t="shared" si="16"/>
        <v>2.7142740085217961E-3</v>
      </c>
      <c r="H22" s="127">
        <f>VLOOKUP($B22&amp;"2",Data!$C:$G,2,FALSE)</f>
        <v>6</v>
      </c>
      <c r="I22" s="128">
        <f>VLOOKUP($B22&amp;"2",Data!$C:$G,4,FALSE)</f>
        <v>1.0601851851851854E-2</v>
      </c>
      <c r="J22" s="129">
        <f>VLOOKUP($B22&amp;"2",Data!$C:$G,5,FALSE)</f>
        <v>4.2699999999999996</v>
      </c>
      <c r="K22" s="130">
        <f t="shared" si="17"/>
        <v>2.4828692861479755E-3</v>
      </c>
      <c r="M22" s="127">
        <f>VLOOKUP($B22&amp;"3",Data!$C:$G,2,FALSE)</f>
        <v>9</v>
      </c>
      <c r="N22" s="128">
        <f>VLOOKUP($B22&amp;"3",Data!$C:$G,4,FALSE)</f>
        <v>1.0555555555555554E-2</v>
      </c>
      <c r="O22" s="129">
        <f>VLOOKUP($B22&amp;"3",Data!$C:$G,5,FALSE)</f>
        <v>3.66</v>
      </c>
      <c r="P22" s="130">
        <f t="shared" si="18"/>
        <v>2.8840315725561622E-3</v>
      </c>
      <c r="R22" s="127">
        <f>VLOOKUP($B22&amp;"4",Data!$C:$G,2,FALSE)</f>
        <v>13</v>
      </c>
      <c r="S22" s="128">
        <f>VLOOKUP($B22&amp;"4",Data!$C:$G,4,FALSE)</f>
        <v>1.2777777777777777E-2</v>
      </c>
      <c r="T22" s="129">
        <f>VLOOKUP($B22&amp;"4",Data!$C:$G,5,FALSE)</f>
        <v>4.5</v>
      </c>
      <c r="U22" s="130">
        <f t="shared" si="19"/>
        <v>2.839506172839506E-3</v>
      </c>
      <c r="W22" s="133">
        <f t="shared" si="20"/>
        <v>15.82</v>
      </c>
      <c r="X22" s="152">
        <f t="shared" si="21"/>
        <v>4.3136574074074077E-2</v>
      </c>
      <c r="Y22" s="130">
        <f t="shared" si="22"/>
        <v>2.7267113826848341E-3</v>
      </c>
      <c r="AA22" s="2">
        <f t="shared" si="23"/>
        <v>1</v>
      </c>
    </row>
    <row r="23" spans="1:27" x14ac:dyDescent="0.2">
      <c r="A23" s="4"/>
      <c r="B23" s="118" t="str">
        <f>+'Team Selection'!H5</f>
        <v>Ian Dent</v>
      </c>
      <c r="C23" s="127">
        <f>VLOOKUP($B23&amp;"1",Data!$C:$G,2,FALSE)</f>
        <v>1</v>
      </c>
      <c r="D23" s="128">
        <f>VLOOKUP($B23&amp;"1",Data!$C:$G,4,FALSE)</f>
        <v>9.386574074074075E-3</v>
      </c>
      <c r="E23" s="129">
        <f>VLOOKUP($B23&amp;"1",Data!$C:$G,5,FALSE)</f>
        <v>3.39</v>
      </c>
      <c r="F23" s="130">
        <f t="shared" si="16"/>
        <v>2.7689009068065117E-3</v>
      </c>
      <c r="H23" s="127">
        <f>VLOOKUP($B23&amp;"2",Data!$C:$G,2,FALSE)</f>
        <v>5</v>
      </c>
      <c r="I23" s="128">
        <f>VLOOKUP($B23&amp;"2",Data!$C:$G,4,FALSE)</f>
        <v>1.2569444444444446E-2</v>
      </c>
      <c r="J23" s="129">
        <f>VLOOKUP($B23&amp;"2",Data!$C:$G,5,FALSE)</f>
        <v>4</v>
      </c>
      <c r="K23" s="130">
        <f t="shared" si="17"/>
        <v>3.1423611111111114E-3</v>
      </c>
      <c r="M23" s="127">
        <f>VLOOKUP($B23&amp;"3",Data!$C:$G,2,FALSE)</f>
        <v>9</v>
      </c>
      <c r="N23" s="128">
        <f>VLOOKUP($B23&amp;"3",Data!$C:$G,4,FALSE)</f>
        <v>1.113425925925926E-2</v>
      </c>
      <c r="O23" s="129">
        <f>VLOOKUP($B23&amp;"3",Data!$C:$G,5,FALSE)</f>
        <v>3.66</v>
      </c>
      <c r="P23" s="130">
        <f t="shared" si="18"/>
        <v>3.0421473385954263E-3</v>
      </c>
      <c r="R23" s="127">
        <f>VLOOKUP($B23&amp;"4",Data!$C:$G,2,FALSE)</f>
        <v>14</v>
      </c>
      <c r="S23" s="128">
        <f>VLOOKUP($B23&amp;"4",Data!$C:$G,4,FALSE)</f>
        <v>1.1597222222222222E-2</v>
      </c>
      <c r="T23" s="129">
        <f>VLOOKUP($B23&amp;"4",Data!$C:$G,5,FALSE)</f>
        <v>4.21</v>
      </c>
      <c r="U23" s="130">
        <f t="shared" si="19"/>
        <v>2.754684613354447E-3</v>
      </c>
      <c r="W23" s="133">
        <f t="shared" si="20"/>
        <v>15.260000000000002</v>
      </c>
      <c r="X23" s="152">
        <f t="shared" si="21"/>
        <v>4.4687500000000005E-2</v>
      </c>
      <c r="Y23" s="130">
        <f t="shared" si="22"/>
        <v>2.9284076015727392E-3</v>
      </c>
      <c r="AA23" s="2">
        <f t="shared" si="23"/>
        <v>5</v>
      </c>
    </row>
    <row r="24" spans="1:27" x14ac:dyDescent="0.2">
      <c r="A24" s="4"/>
      <c r="B24" s="118" t="str">
        <f>+'Team Selection'!H6</f>
        <v>David Hartley</v>
      </c>
      <c r="C24" s="127">
        <f>VLOOKUP($B24&amp;"1",Data!$C:$G,2,FALSE)</f>
        <v>2</v>
      </c>
      <c r="D24" s="128">
        <f>VLOOKUP($B24&amp;"1",Data!$C:$G,4,FALSE)</f>
        <v>9.6643518518518511E-3</v>
      </c>
      <c r="E24" s="129">
        <f>VLOOKUP($B24&amp;"1",Data!$C:$G,5,FALSE)</f>
        <v>3.39</v>
      </c>
      <c r="F24" s="130">
        <f t="shared" si="16"/>
        <v>2.8508412542335841E-3</v>
      </c>
      <c r="H24" s="127">
        <f>VLOOKUP($B24&amp;"2",Data!$C:$G,2,FALSE)</f>
        <v>6</v>
      </c>
      <c r="I24" s="128">
        <f>VLOOKUP($B24&amp;"2",Data!$C:$G,4,FALSE)</f>
        <v>1.1446759259259261E-2</v>
      </c>
      <c r="J24" s="129">
        <f>VLOOKUP($B24&amp;"2",Data!$C:$G,5,FALSE)</f>
        <v>4.2699999999999996</v>
      </c>
      <c r="K24" s="130">
        <f t="shared" si="17"/>
        <v>2.6807398733628249E-3</v>
      </c>
      <c r="M24" s="127">
        <f>VLOOKUP($B24&amp;"3",Data!$C:$G,2,FALSE)</f>
        <v>10</v>
      </c>
      <c r="N24" s="128">
        <f>VLOOKUP($B24&amp;"3",Data!$C:$G,4,FALSE)</f>
        <v>1.1111111111111112E-2</v>
      </c>
      <c r="O24" s="129">
        <f>VLOOKUP($B24&amp;"3",Data!$C:$G,5,FALSE)</f>
        <v>3.7</v>
      </c>
      <c r="P24" s="130">
        <f t="shared" si="18"/>
        <v>3.003003003003003E-3</v>
      </c>
      <c r="R24" s="127">
        <f>VLOOKUP($B24&amp;"4",Data!$C:$G,2,FALSE)</f>
        <v>13</v>
      </c>
      <c r="S24" s="128">
        <f>VLOOKUP($B24&amp;"4",Data!$C:$G,4,FALSE)</f>
        <v>1.3171296296296294E-2</v>
      </c>
      <c r="T24" s="129">
        <f>VLOOKUP($B24&amp;"4",Data!$C:$G,5,FALSE)</f>
        <v>4.5</v>
      </c>
      <c r="U24" s="130">
        <f t="shared" si="19"/>
        <v>2.9269547325102875E-3</v>
      </c>
      <c r="W24" s="133">
        <f t="shared" si="20"/>
        <v>15.86</v>
      </c>
      <c r="X24" s="152">
        <f t="shared" si="21"/>
        <v>4.5393518518518514E-2</v>
      </c>
      <c r="Y24" s="130">
        <f t="shared" si="22"/>
        <v>2.8621386203353414E-3</v>
      </c>
      <c r="AA24" s="2">
        <f t="shared" si="23"/>
        <v>4</v>
      </c>
    </row>
    <row r="25" spans="1:27" x14ac:dyDescent="0.2">
      <c r="A25" s="4"/>
      <c r="B25" s="118" t="str">
        <f>+'Team Selection'!H7</f>
        <v>Chris Osborne</v>
      </c>
      <c r="C25" s="127">
        <f>VLOOKUP($B25&amp;"1",Data!$C:$G,2,FALSE)</f>
        <v>3</v>
      </c>
      <c r="D25" s="128">
        <f>VLOOKUP($B25&amp;"1",Data!$C:$G,4,FALSE)</f>
        <v>9.7569444444444448E-3</v>
      </c>
      <c r="E25" s="129">
        <f>VLOOKUP($B25&amp;"1",Data!$C:$G,5,FALSE)</f>
        <v>3.39</v>
      </c>
      <c r="F25" s="130">
        <f t="shared" si="16"/>
        <v>2.8781547033759425E-3</v>
      </c>
      <c r="H25" s="127">
        <f>VLOOKUP($B25&amp;"2",Data!$C:$G,2,FALSE)</f>
        <v>6</v>
      </c>
      <c r="I25" s="128">
        <f>VLOOKUP($B25&amp;"2",Data!$C:$G,4,FALSE)</f>
        <v>1.1087962962962964E-2</v>
      </c>
      <c r="J25" s="129">
        <f>VLOOKUP($B25&amp;"2",Data!$C:$G,5,FALSE)</f>
        <v>4.2699999999999996</v>
      </c>
      <c r="K25" s="130">
        <f t="shared" si="17"/>
        <v>2.5967126376962449E-3</v>
      </c>
      <c r="M25" s="127">
        <f>VLOOKUP($B25&amp;"3",Data!$C:$G,2,FALSE)</f>
        <v>10</v>
      </c>
      <c r="N25" s="128">
        <f>VLOOKUP($B25&amp;"3",Data!$C:$G,4,FALSE)</f>
        <v>1.113425925925926E-2</v>
      </c>
      <c r="O25" s="129">
        <f>VLOOKUP($B25&amp;"3",Data!$C:$G,5,FALSE)</f>
        <v>3.7</v>
      </c>
      <c r="P25" s="130">
        <f t="shared" si="18"/>
        <v>3.0092592592592593E-3</v>
      </c>
      <c r="R25" s="127">
        <f>VLOOKUP($B25&amp;"4",Data!$C:$G,2,FALSE)</f>
        <v>14</v>
      </c>
      <c r="S25" s="128">
        <f>VLOOKUP($B25&amp;"4",Data!$C:$G,4,FALSE)</f>
        <v>1.1863425925925925E-2</v>
      </c>
      <c r="T25" s="129">
        <f>VLOOKUP($B25&amp;"4",Data!$C:$G,5,FALSE)</f>
        <v>4.21</v>
      </c>
      <c r="U25" s="130">
        <f t="shared" si="19"/>
        <v>2.817915896894519E-3</v>
      </c>
      <c r="W25" s="133">
        <f t="shared" si="20"/>
        <v>15.57</v>
      </c>
      <c r="X25" s="152">
        <f t="shared" si="21"/>
        <v>4.3842592592592593E-2</v>
      </c>
      <c r="Y25" s="130">
        <f t="shared" si="22"/>
        <v>2.8158376745403076E-3</v>
      </c>
      <c r="AA25" s="2">
        <f t="shared" si="23"/>
        <v>3</v>
      </c>
    </row>
    <row r="26" spans="1:27" x14ac:dyDescent="0.2">
      <c r="A26" s="4"/>
      <c r="B26" s="118" t="str">
        <f>+'Team Selection'!H8</f>
        <v>Kirsten Jackson</v>
      </c>
      <c r="C26" s="161">
        <f>VLOOKUP($B26&amp;"1",Data!$C:$G,2,FALSE)</f>
        <v>1</v>
      </c>
      <c r="D26" s="162">
        <f>VLOOKUP($B26&amp;"1",Data!$C:$G,4,FALSE)</f>
        <v>1.1145833333333334E-2</v>
      </c>
      <c r="E26" s="163">
        <f>VLOOKUP($B26&amp;"1",Data!$C:$G,5,FALSE)</f>
        <v>3.39</v>
      </c>
      <c r="F26" s="164">
        <f t="shared" si="16"/>
        <v>3.287856440511308E-3</v>
      </c>
      <c r="H26" s="161">
        <f>VLOOKUP($B26&amp;"2",Data!$C:$G,2,FALSE)</f>
        <v>5</v>
      </c>
      <c r="I26" s="162">
        <f>VLOOKUP($B26&amp;"2",Data!$C:$G,4,FALSE)</f>
        <v>1.3229166666666667E-2</v>
      </c>
      <c r="J26" s="163">
        <f>VLOOKUP($B26&amp;"2",Data!$C:$G,5,FALSE)</f>
        <v>4</v>
      </c>
      <c r="K26" s="164">
        <f t="shared" si="17"/>
        <v>3.3072916666666667E-3</v>
      </c>
      <c r="M26" s="161">
        <f>VLOOKUP($B26&amp;"3",Data!$C:$G,2,FALSE)</f>
        <v>10</v>
      </c>
      <c r="N26" s="162">
        <f>VLOOKUP($B26&amp;"3",Data!$C:$G,4,FALSE)</f>
        <v>1.1782407407407406E-2</v>
      </c>
      <c r="O26" s="163">
        <f>VLOOKUP($B26&amp;"3",Data!$C:$G,5,FALSE)</f>
        <v>3.7</v>
      </c>
      <c r="P26" s="164">
        <f t="shared" si="18"/>
        <v>3.184434434434434E-3</v>
      </c>
      <c r="R26" s="161">
        <f>VLOOKUP($B26&amp;"4",Data!$C:$G,2,FALSE)</f>
        <v>14</v>
      </c>
      <c r="S26" s="162">
        <f>VLOOKUP($B26&amp;"4",Data!$C:$G,4,FALSE)</f>
        <v>1.2037037037037035E-2</v>
      </c>
      <c r="T26" s="163">
        <f>VLOOKUP($B26&amp;"4",Data!$C:$G,5,FALSE)</f>
        <v>4.21</v>
      </c>
      <c r="U26" s="164">
        <f t="shared" si="19"/>
        <v>2.8591536905076096E-3</v>
      </c>
      <c r="W26" s="165">
        <f t="shared" si="20"/>
        <v>15.3</v>
      </c>
      <c r="X26" s="166">
        <f t="shared" si="21"/>
        <v>4.8194444444444443E-2</v>
      </c>
      <c r="Y26" s="164">
        <f t="shared" si="22"/>
        <v>3.149963689179375E-3</v>
      </c>
      <c r="AA26" s="2">
        <f t="shared" si="23"/>
        <v>6</v>
      </c>
    </row>
    <row r="27" spans="1:27" x14ac:dyDescent="0.2">
      <c r="A27" s="5"/>
      <c r="B27" s="6"/>
      <c r="C27" s="5"/>
      <c r="D27" s="10"/>
      <c r="E27" s="11"/>
      <c r="F27" s="10"/>
      <c r="G27" s="6"/>
      <c r="H27" s="5"/>
      <c r="I27" s="10"/>
      <c r="J27" s="11"/>
      <c r="K27" s="10"/>
      <c r="L27" s="6"/>
      <c r="M27" s="5"/>
      <c r="N27" s="10"/>
      <c r="O27" s="11"/>
      <c r="P27" s="10"/>
      <c r="Q27" s="6"/>
      <c r="R27" s="5"/>
      <c r="S27" s="10"/>
      <c r="T27" s="11"/>
      <c r="U27" s="10"/>
      <c r="V27" s="6"/>
      <c r="X27" s="10"/>
      <c r="Y27" s="10"/>
    </row>
    <row r="28" spans="1:27" x14ac:dyDescent="0.2">
      <c r="A28" s="5"/>
      <c r="B28" s="6"/>
      <c r="C28" s="5"/>
      <c r="D28" s="10"/>
      <c r="E28" s="11"/>
      <c r="F28" s="10"/>
      <c r="G28" s="6"/>
      <c r="H28" s="5"/>
      <c r="I28" s="10"/>
      <c r="J28" s="11"/>
      <c r="K28" s="10"/>
      <c r="L28" s="6"/>
      <c r="M28" s="5"/>
      <c r="N28" s="10"/>
      <c r="O28" s="11"/>
      <c r="P28" s="10"/>
      <c r="Q28" s="6"/>
      <c r="R28" s="5"/>
      <c r="S28" s="10"/>
      <c r="T28" s="11"/>
      <c r="U28" s="10"/>
      <c r="V28" s="6"/>
      <c r="W28" s="24" t="s">
        <v>39</v>
      </c>
      <c r="X28" s="23" t="s">
        <v>39</v>
      </c>
      <c r="Y28" s="23" t="s">
        <v>40</v>
      </c>
    </row>
    <row r="29" spans="1:27" x14ac:dyDescent="0.2">
      <c r="A29" s="157"/>
      <c r="B29" s="158" t="s">
        <v>31</v>
      </c>
      <c r="C29" s="154" t="s">
        <v>11</v>
      </c>
      <c r="D29" s="15" t="s">
        <v>7</v>
      </c>
      <c r="E29" s="17" t="s">
        <v>32</v>
      </c>
      <c r="F29" s="15" t="s">
        <v>8</v>
      </c>
      <c r="H29" s="9" t="s">
        <v>11</v>
      </c>
      <c r="I29" s="15" t="s">
        <v>7</v>
      </c>
      <c r="J29" s="17" t="s">
        <v>32</v>
      </c>
      <c r="K29" s="15" t="s">
        <v>8</v>
      </c>
      <c r="M29" s="9" t="s">
        <v>11</v>
      </c>
      <c r="N29" s="15" t="s">
        <v>7</v>
      </c>
      <c r="O29" s="17" t="s">
        <v>32</v>
      </c>
      <c r="P29" s="15" t="s">
        <v>8</v>
      </c>
      <c r="R29" s="9" t="s">
        <v>11</v>
      </c>
      <c r="S29" s="15" t="s">
        <v>7</v>
      </c>
      <c r="T29" s="17" t="s">
        <v>32</v>
      </c>
      <c r="U29" s="15" t="s">
        <v>8</v>
      </c>
      <c r="W29" s="20" t="s">
        <v>38</v>
      </c>
      <c r="X29" s="132" t="s">
        <v>7</v>
      </c>
      <c r="Y29" s="19" t="s">
        <v>8</v>
      </c>
    </row>
    <row r="30" spans="1:27" x14ac:dyDescent="0.2">
      <c r="A30" s="4"/>
      <c r="B30" s="156" t="str">
        <f>+'Team Selection'!J3</f>
        <v>David Burnheim</v>
      </c>
      <c r="C30" s="127">
        <f>VLOOKUP($B30&amp;"1",Data!$C:$G,2,FALSE)</f>
        <v>3</v>
      </c>
      <c r="D30" s="128">
        <f>VLOOKUP($B30&amp;"1",Data!$C:$G,4,FALSE)</f>
        <v>1.0902777777777777E-2</v>
      </c>
      <c r="E30" s="129">
        <f>VLOOKUP($B30&amp;"1",Data!$C:$G,5,FALSE)</f>
        <v>3.39</v>
      </c>
      <c r="F30" s="130">
        <f t="shared" ref="F30:F35" si="24">+D30/E30</f>
        <v>3.2161586365126184E-3</v>
      </c>
      <c r="H30" s="127">
        <f>VLOOKUP($B30&amp;"2",Data!$C:$G,2,FALSE)</f>
        <v>7</v>
      </c>
      <c r="I30" s="128">
        <f>VLOOKUP($B30&amp;"2",Data!$C:$G,4,FALSE)</f>
        <v>8.3680555555555557E-3</v>
      </c>
      <c r="J30" s="129">
        <f>VLOOKUP($B30&amp;"2",Data!$C:$G,5,FALSE)</f>
        <v>3.2</v>
      </c>
      <c r="K30" s="130">
        <f t="shared" ref="K30:K35" si="25">+I30/J30</f>
        <v>2.6150173611111109E-3</v>
      </c>
      <c r="M30" s="127">
        <f>VLOOKUP($B30&amp;"3",Data!$C:$G,2,FALSE)</f>
        <v>10</v>
      </c>
      <c r="N30" s="128">
        <f>VLOOKUP($B30&amp;"3",Data!$C:$G,4,FALSE)</f>
        <v>1.2858796296296297E-2</v>
      </c>
      <c r="O30" s="129">
        <f>VLOOKUP($B30&amp;"3",Data!$C:$G,5,FALSE)</f>
        <v>3.7</v>
      </c>
      <c r="P30" s="130">
        <f t="shared" ref="P30:P35" si="26">+N30/O30</f>
        <v>3.4753503503503502E-3</v>
      </c>
      <c r="R30" s="127">
        <f>VLOOKUP($B30&amp;"4",Data!$C:$G,2,FALSE)</f>
        <v>16</v>
      </c>
      <c r="S30" s="128">
        <f>VLOOKUP($B30&amp;"4",Data!$C:$G,4,FALSE)</f>
        <v>1.3969907407407408E-2</v>
      </c>
      <c r="T30" s="129">
        <f>VLOOKUP($B30&amp;"4",Data!$C:$G,5,FALSE)</f>
        <v>3.66</v>
      </c>
      <c r="U30" s="130">
        <f t="shared" ref="U30:U35" si="27">+S30/T30</f>
        <v>3.8169145921878164E-3</v>
      </c>
      <c r="W30" s="133">
        <f t="shared" ref="W30:W35" si="28">SUM(E30,J30,O30,T30)</f>
        <v>13.95</v>
      </c>
      <c r="X30" s="152">
        <f t="shared" ref="X30:X35" si="29">SUM(D30,I30,N30,S30)</f>
        <v>4.6099537037037043E-2</v>
      </c>
      <c r="Y30" s="130">
        <f t="shared" ref="Y30:Y35" si="30">SUM(D30,I30,N30,S30)/W30</f>
        <v>3.3046263108987128E-3</v>
      </c>
      <c r="AA30" s="2">
        <f t="shared" ref="AA30:AA35" si="31">RANK(Y30,Y$30:Y$35,1)</f>
        <v>6</v>
      </c>
    </row>
    <row r="31" spans="1:27" x14ac:dyDescent="0.2">
      <c r="A31" s="4"/>
      <c r="B31" s="118" t="str">
        <f>+'Team Selection'!J4</f>
        <v>Simon Walker</v>
      </c>
      <c r="C31" s="127">
        <f>VLOOKUP($B31&amp;"1",Data!$C:$G,2,FALSE)</f>
        <v>3</v>
      </c>
      <c r="D31" s="128">
        <f>VLOOKUP($B31&amp;"1",Data!$C:$G,4,FALSE)</f>
        <v>1.0254629629629629E-2</v>
      </c>
      <c r="E31" s="129">
        <f>VLOOKUP($B31&amp;"1",Data!$C:$G,5,FALSE)</f>
        <v>3.39</v>
      </c>
      <c r="F31" s="130">
        <f t="shared" si="24"/>
        <v>3.0249644925161145E-3</v>
      </c>
      <c r="H31" s="127">
        <f>VLOOKUP($B31&amp;"2",Data!$C:$G,2,FALSE)</f>
        <v>7</v>
      </c>
      <c r="I31" s="128">
        <f>VLOOKUP($B31&amp;"2",Data!$C:$G,4,FALSE)</f>
        <v>8.3564814814814804E-3</v>
      </c>
      <c r="J31" s="129">
        <f>VLOOKUP($B31&amp;"2",Data!$C:$G,5,FALSE)</f>
        <v>3.2</v>
      </c>
      <c r="K31" s="130">
        <f t="shared" si="25"/>
        <v>2.6114004629629625E-3</v>
      </c>
      <c r="M31" s="127">
        <f>VLOOKUP($B31&amp;"3",Data!$C:$G,2,FALSE)</f>
        <v>10</v>
      </c>
      <c r="N31" s="128">
        <f>VLOOKUP($B31&amp;"3",Data!$C:$G,4,FALSE)</f>
        <v>1.2002314814814815E-2</v>
      </c>
      <c r="O31" s="129">
        <f>VLOOKUP($B31&amp;"3",Data!$C:$G,5,FALSE)</f>
        <v>3.7</v>
      </c>
      <c r="P31" s="130">
        <f t="shared" si="26"/>
        <v>3.2438688688688688E-3</v>
      </c>
      <c r="R31" s="127">
        <f>VLOOKUP($B31&amp;"4",Data!$C:$G,2,FALSE)</f>
        <v>16</v>
      </c>
      <c r="S31" s="128">
        <f>VLOOKUP($B31&amp;"4",Data!$C:$G,4,FALSE)</f>
        <v>1.091435185185185E-2</v>
      </c>
      <c r="T31" s="129">
        <f>VLOOKUP($B31&amp;"4",Data!$C:$G,5,FALSE)</f>
        <v>3.66</v>
      </c>
      <c r="U31" s="130">
        <f t="shared" si="27"/>
        <v>2.9820633475005054E-3</v>
      </c>
      <c r="W31" s="133">
        <f t="shared" si="28"/>
        <v>13.95</v>
      </c>
      <c r="X31" s="152">
        <f t="shared" si="29"/>
        <v>4.1527777777777775E-2</v>
      </c>
      <c r="Y31" s="130">
        <f t="shared" si="30"/>
        <v>2.9769016328156112E-3</v>
      </c>
      <c r="AA31" s="2">
        <f t="shared" si="31"/>
        <v>4</v>
      </c>
    </row>
    <row r="32" spans="1:27" x14ac:dyDescent="0.2">
      <c r="A32" s="4"/>
      <c r="B32" s="118" t="str">
        <f>+'Team Selection'!J5</f>
        <v>Nick Tobin</v>
      </c>
      <c r="C32" s="127">
        <f>VLOOKUP($B32&amp;"1",Data!$C:$G,2,FALSE)</f>
        <v>3</v>
      </c>
      <c r="D32" s="128">
        <f>VLOOKUP($B32&amp;"1",Data!$C:$G,4,FALSE)</f>
        <v>1.0706018518518517E-2</v>
      </c>
      <c r="E32" s="129">
        <f>VLOOKUP($B32&amp;"1",Data!$C:$G,5,FALSE)</f>
        <v>3.39</v>
      </c>
      <c r="F32" s="130">
        <f t="shared" si="24"/>
        <v>3.1581175570851083E-3</v>
      </c>
      <c r="H32" s="127">
        <f>VLOOKUP($B32&amp;"2",Data!$C:$G,2,FALSE)</f>
        <v>7</v>
      </c>
      <c r="I32" s="128">
        <f>VLOOKUP($B32&amp;"2",Data!$C:$G,4,FALSE)</f>
        <v>8.1712962962962963E-3</v>
      </c>
      <c r="J32" s="129">
        <f>VLOOKUP($B32&amp;"2",Data!$C:$G,5,FALSE)</f>
        <v>3.2</v>
      </c>
      <c r="K32" s="130">
        <f t="shared" si="25"/>
        <v>2.5535300925925925E-3</v>
      </c>
      <c r="M32" s="127">
        <f>VLOOKUP($B32&amp;"3",Data!$C:$G,2,FALSE)</f>
        <v>10</v>
      </c>
      <c r="N32" s="128">
        <f>VLOOKUP($B32&amp;"3",Data!$C:$G,4,FALSE)</f>
        <v>1.2592592592592593E-2</v>
      </c>
      <c r="O32" s="129">
        <f>VLOOKUP($B32&amp;"3",Data!$C:$G,5,FALSE)</f>
        <v>3.7</v>
      </c>
      <c r="P32" s="130">
        <f t="shared" si="26"/>
        <v>3.4034034034034033E-3</v>
      </c>
      <c r="R32" s="127">
        <f>VLOOKUP($B32&amp;"4",Data!$C:$G,2,FALSE)</f>
        <v>16</v>
      </c>
      <c r="S32" s="128">
        <f>VLOOKUP($B32&amp;"4",Data!$C:$G,4,FALSE)</f>
        <v>1.3564814814814816E-2</v>
      </c>
      <c r="T32" s="129">
        <f>VLOOKUP($B32&amp;"4",Data!$C:$G,5,FALSE)</f>
        <v>3.66</v>
      </c>
      <c r="U32" s="130">
        <f t="shared" si="27"/>
        <v>3.7062335559603322E-3</v>
      </c>
      <c r="W32" s="133">
        <f t="shared" si="28"/>
        <v>13.95</v>
      </c>
      <c r="X32" s="152">
        <f t="shared" si="29"/>
        <v>4.5034722222222219E-2</v>
      </c>
      <c r="Y32" s="130">
        <f t="shared" si="30"/>
        <v>3.228295499800876E-3</v>
      </c>
      <c r="AA32" s="2">
        <f t="shared" si="31"/>
        <v>5</v>
      </c>
    </row>
    <row r="33" spans="1:27" x14ac:dyDescent="0.2">
      <c r="A33" s="4"/>
      <c r="B33" s="118" t="str">
        <f>+'Team Selection'!J6</f>
        <v>John Dixon</v>
      </c>
      <c r="C33" s="127">
        <f>VLOOKUP($B33&amp;"1",Data!$C:$G,2,FALSE)</f>
        <v>3</v>
      </c>
      <c r="D33" s="128">
        <f>VLOOKUP($B33&amp;"1",Data!$C:$G,4,FALSE)</f>
        <v>9.7337962962962977E-3</v>
      </c>
      <c r="E33" s="129">
        <f>VLOOKUP($B33&amp;"1",Data!$C:$G,5,FALSE)</f>
        <v>3.39</v>
      </c>
      <c r="F33" s="130">
        <f t="shared" si="24"/>
        <v>2.871326341090353E-3</v>
      </c>
      <c r="H33" s="127">
        <f>VLOOKUP($B33&amp;"2",Data!$C:$G,2,FALSE)</f>
        <v>7</v>
      </c>
      <c r="I33" s="128">
        <f>VLOOKUP($B33&amp;"2",Data!$C:$G,4,FALSE)</f>
        <v>7.4305555555555548E-3</v>
      </c>
      <c r="J33" s="129">
        <f>VLOOKUP($B33&amp;"2",Data!$C:$G,5,FALSE)</f>
        <v>3.2</v>
      </c>
      <c r="K33" s="130">
        <f t="shared" si="25"/>
        <v>2.3220486111111107E-3</v>
      </c>
      <c r="M33" s="127">
        <f>VLOOKUP($B33&amp;"3",Data!$C:$G,2,FALSE)</f>
        <v>14</v>
      </c>
      <c r="N33" s="128">
        <f>VLOOKUP($B33&amp;"3",Data!$C:$G,4,FALSE)</f>
        <v>1.1898148148148149E-2</v>
      </c>
      <c r="O33" s="129">
        <f>VLOOKUP($B33&amp;"3",Data!$C:$G,5,FALSE)</f>
        <v>4.21</v>
      </c>
      <c r="P33" s="130">
        <f t="shared" si="26"/>
        <v>2.8261634556171374E-3</v>
      </c>
      <c r="R33" s="127">
        <f>VLOOKUP($B33&amp;"4",Data!$C:$G,2,FALSE)</f>
        <v>16</v>
      </c>
      <c r="S33" s="128">
        <f>VLOOKUP($B33&amp;"4",Data!$C:$G,4,FALSE)</f>
        <v>1.0694444444444444E-2</v>
      </c>
      <c r="T33" s="129">
        <f>VLOOKUP($B33&amp;"4",Data!$C:$G,5,FALSE)</f>
        <v>3.66</v>
      </c>
      <c r="U33" s="130">
        <f t="shared" si="27"/>
        <v>2.9219793564055855E-3</v>
      </c>
      <c r="W33" s="133">
        <f t="shared" si="28"/>
        <v>14.46</v>
      </c>
      <c r="X33" s="152">
        <f t="shared" si="29"/>
        <v>3.9756944444444449E-2</v>
      </c>
      <c r="Y33" s="130">
        <f t="shared" si="30"/>
        <v>2.7494429076379287E-3</v>
      </c>
      <c r="AA33" s="2">
        <f t="shared" si="31"/>
        <v>2</v>
      </c>
    </row>
    <row r="34" spans="1:27" x14ac:dyDescent="0.2">
      <c r="A34" s="4"/>
      <c r="B34" s="118" t="str">
        <f>+'Team Selection'!J7</f>
        <v>Martin Duchovny</v>
      </c>
      <c r="C34" s="127">
        <f>VLOOKUP($B34&amp;"1",Data!$C:$G,2,FALSE)</f>
        <v>2</v>
      </c>
      <c r="D34" s="128">
        <f>VLOOKUP($B34&amp;"1",Data!$C:$G,4,FALSE)</f>
        <v>9.5370370370370366E-3</v>
      </c>
      <c r="E34" s="129">
        <f>VLOOKUP($B34&amp;"1",Data!$C:$G,5,FALSE)</f>
        <v>3.39</v>
      </c>
      <c r="F34" s="130">
        <f t="shared" si="24"/>
        <v>2.8132852616628424E-3</v>
      </c>
      <c r="H34" s="127">
        <f>VLOOKUP($B34&amp;"2",Data!$C:$G,2,FALSE)</f>
        <v>7</v>
      </c>
      <c r="I34" s="128">
        <f>VLOOKUP($B34&amp;"2",Data!$C:$G,4,FALSE)</f>
        <v>7.5694444444444446E-3</v>
      </c>
      <c r="J34" s="129">
        <f>VLOOKUP($B34&amp;"2",Data!$C:$G,5,FALSE)</f>
        <v>3.2</v>
      </c>
      <c r="K34" s="130">
        <f t="shared" si="25"/>
        <v>2.3654513888888887E-3</v>
      </c>
      <c r="M34" s="127">
        <f>VLOOKUP($B34&amp;"3",Data!$C:$G,2,FALSE)</f>
        <v>12</v>
      </c>
      <c r="N34" s="128">
        <f>VLOOKUP($B34&amp;"3",Data!$C:$G,4,FALSE)</f>
        <v>1.2731481481481481E-2</v>
      </c>
      <c r="O34" s="129">
        <f>VLOOKUP($B34&amp;"3",Data!$C:$G,5,FALSE)</f>
        <v>4.5</v>
      </c>
      <c r="P34" s="130">
        <f t="shared" si="26"/>
        <v>2.8292181069958845E-3</v>
      </c>
      <c r="R34" s="127">
        <f>VLOOKUP($B34&amp;"4",Data!$C:$G,2,FALSE)</f>
        <v>16</v>
      </c>
      <c r="S34" s="128">
        <f>VLOOKUP($B34&amp;"4",Data!$C:$G,4,FALSE)</f>
        <v>1.0601851851851854E-2</v>
      </c>
      <c r="T34" s="129">
        <f>VLOOKUP($B34&amp;"4",Data!$C:$G,5,FALSE)</f>
        <v>3.66</v>
      </c>
      <c r="U34" s="130">
        <f t="shared" si="27"/>
        <v>2.896680833839304E-3</v>
      </c>
      <c r="W34" s="133">
        <f t="shared" si="28"/>
        <v>14.75</v>
      </c>
      <c r="X34" s="152">
        <f t="shared" si="29"/>
        <v>4.0439814814814817E-2</v>
      </c>
      <c r="Y34" s="130">
        <f t="shared" si="30"/>
        <v>2.7416823603264285E-3</v>
      </c>
      <c r="AA34" s="2">
        <f t="shared" si="31"/>
        <v>1</v>
      </c>
    </row>
    <row r="35" spans="1:27" x14ac:dyDescent="0.2">
      <c r="A35" s="4"/>
      <c r="B35" s="118" t="str">
        <f>+'Team Selection'!J8</f>
        <v>James Chiriano</v>
      </c>
      <c r="C35" s="161">
        <f>VLOOKUP($B35&amp;"1",Data!$C:$G,2,FALSE)</f>
        <v>3</v>
      </c>
      <c r="D35" s="162">
        <f>VLOOKUP($B35&amp;"1",Data!$C:$G,4,FALSE)</f>
        <v>9.2939814814814812E-3</v>
      </c>
      <c r="E35" s="163">
        <f>VLOOKUP($B35&amp;"1",Data!$C:$G,5,FALSE)</f>
        <v>3.39</v>
      </c>
      <c r="F35" s="164">
        <f t="shared" si="24"/>
        <v>2.7415874576641537E-3</v>
      </c>
      <c r="H35" s="161">
        <f>VLOOKUP($B35&amp;"2",Data!$C:$G,2,FALSE)</f>
        <v>7</v>
      </c>
      <c r="I35" s="162">
        <f>VLOOKUP($B35&amp;"2",Data!$C:$G,4,FALSE)</f>
        <v>7.5115740740740742E-3</v>
      </c>
      <c r="J35" s="163">
        <f>VLOOKUP($B35&amp;"2",Data!$C:$G,5,FALSE)</f>
        <v>3.2</v>
      </c>
      <c r="K35" s="164">
        <f t="shared" si="25"/>
        <v>2.3473668981481479E-3</v>
      </c>
      <c r="M35" s="161">
        <f>VLOOKUP($B35&amp;"3",Data!$C:$G,2,FALSE)</f>
        <v>9</v>
      </c>
      <c r="N35" s="162">
        <f>VLOOKUP($B35&amp;"3",Data!$C:$G,4,FALSE)</f>
        <v>1.2673611111111109E-2</v>
      </c>
      <c r="O35" s="163">
        <f>VLOOKUP($B35&amp;"3",Data!$C:$G,5,FALSE)</f>
        <v>3.66</v>
      </c>
      <c r="P35" s="164">
        <f t="shared" si="26"/>
        <v>3.4627352762598659E-3</v>
      </c>
      <c r="R35" s="161">
        <f>VLOOKUP($B35&amp;"4",Data!$C:$G,2,FALSE)</f>
        <v>16</v>
      </c>
      <c r="S35" s="162">
        <f>VLOOKUP($B35&amp;"4",Data!$C:$G,4,FALSE)</f>
        <v>1.1284722222222222E-2</v>
      </c>
      <c r="T35" s="163">
        <f>VLOOKUP($B35&amp;"4",Data!$C:$G,5,FALSE)</f>
        <v>3.66</v>
      </c>
      <c r="U35" s="164">
        <f t="shared" si="27"/>
        <v>3.0832574377656343E-3</v>
      </c>
      <c r="W35" s="165">
        <f t="shared" si="28"/>
        <v>13.91</v>
      </c>
      <c r="X35" s="166">
        <f t="shared" si="29"/>
        <v>4.0763888888888891E-2</v>
      </c>
      <c r="Y35" s="164">
        <f t="shared" si="30"/>
        <v>2.9305455707324866E-3</v>
      </c>
      <c r="AA35" s="2">
        <f t="shared" si="31"/>
        <v>3</v>
      </c>
    </row>
    <row r="36" spans="1:27" x14ac:dyDescent="0.2">
      <c r="C36" s="5"/>
      <c r="D36" s="10"/>
      <c r="E36" s="11"/>
      <c r="F36" s="10"/>
      <c r="G36" s="6"/>
      <c r="H36" s="5"/>
      <c r="I36" s="10"/>
      <c r="J36" s="11"/>
      <c r="K36" s="10"/>
      <c r="L36" s="6"/>
      <c r="M36" s="5"/>
      <c r="N36" s="10"/>
      <c r="O36" s="11"/>
      <c r="P36" s="10"/>
      <c r="Q36" s="6"/>
      <c r="R36" s="5"/>
      <c r="S36" s="10"/>
      <c r="T36" s="11"/>
      <c r="U36" s="10"/>
      <c r="X36" s="10"/>
      <c r="Y36" s="10"/>
    </row>
    <row r="42" spans="1:27" x14ac:dyDescent="0.2">
      <c r="N42" s="167"/>
    </row>
  </sheetData>
  <sheetCalcPr fullCalcOnLoad="1"/>
  <phoneticPr fontId="0" type="noConversion"/>
  <pageMargins left="0.44" right="0.59" top="1.0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97"/>
  <sheetViews>
    <sheetView topLeftCell="A4" workbookViewId="0">
      <selection activeCell="E26" sqref="E26:E49"/>
    </sheetView>
  </sheetViews>
  <sheetFormatPr defaultRowHeight="12.75" x14ac:dyDescent="0.2"/>
  <cols>
    <col min="1" max="1" width="14" style="12" customWidth="1"/>
    <col min="2" max="2" width="9.140625" style="12"/>
    <col min="3" max="3" width="20" style="12" customWidth="1"/>
    <col min="4" max="4" width="9.140625" style="12"/>
    <col min="5" max="5" width="20.7109375" customWidth="1"/>
  </cols>
  <sheetData>
    <row r="1" spans="1:7" x14ac:dyDescent="0.2">
      <c r="A1" s="12" t="s">
        <v>45</v>
      </c>
      <c r="B1" s="12" t="s">
        <v>0</v>
      </c>
      <c r="D1" s="12" t="s">
        <v>11</v>
      </c>
      <c r="E1" s="12" t="s">
        <v>37</v>
      </c>
      <c r="F1" s="12" t="s">
        <v>7</v>
      </c>
      <c r="G1" s="12" t="s">
        <v>38</v>
      </c>
    </row>
    <row r="2" spans="1:7" x14ac:dyDescent="0.2">
      <c r="A2" s="12">
        <f>COUNTIF(E$2:E2,E2)</f>
        <v>1</v>
      </c>
      <c r="B2" s="12">
        <v>1</v>
      </c>
      <c r="C2" s="12" t="str">
        <f>E2&amp;A2</f>
        <v>Thai Phan1</v>
      </c>
      <c r="D2" s="12">
        <v>1</v>
      </c>
      <c r="E2" t="str">
        <f>+'Stage Entry'!H4</f>
        <v>Thai Phan</v>
      </c>
      <c r="F2" s="119">
        <f>+'Stage Entry'!I4</f>
        <v>9.2361111111111116E-3</v>
      </c>
      <c r="G2" s="13">
        <f t="shared" ref="G2:G13" si="0">+Dist1</f>
        <v>3.39</v>
      </c>
    </row>
    <row r="3" spans="1:7" x14ac:dyDescent="0.2">
      <c r="A3" s="12">
        <f>COUNTIF(E$2:E3,E3)</f>
        <v>1</v>
      </c>
      <c r="B3" s="12">
        <v>2</v>
      </c>
      <c r="C3" s="12" t="str">
        <f t="shared" ref="C3:C57" si="1">E3&amp;A3</f>
        <v>Glenn Goodman1</v>
      </c>
      <c r="D3" s="12">
        <v>1</v>
      </c>
      <c r="E3" t="str">
        <f>+'Stage Entry'!H5</f>
        <v>Glenn Goodman</v>
      </c>
      <c r="F3" s="119">
        <f>+'Stage Entry'!I5</f>
        <v>9.2592592592592605E-3</v>
      </c>
      <c r="G3" s="13">
        <f t="shared" si="0"/>
        <v>3.39</v>
      </c>
    </row>
    <row r="4" spans="1:7" x14ac:dyDescent="0.2">
      <c r="A4" s="12">
        <f>COUNTIF(E$2:E4,E4)</f>
        <v>1</v>
      </c>
      <c r="B4" s="12">
        <v>3</v>
      </c>
      <c r="C4" s="12" t="str">
        <f t="shared" si="1"/>
        <v>Ian Dent1</v>
      </c>
      <c r="D4" s="12">
        <v>1</v>
      </c>
      <c r="E4" t="str">
        <f>+'Stage Entry'!H6</f>
        <v>Ian Dent</v>
      </c>
      <c r="F4" s="119">
        <f>+'Stage Entry'!I6</f>
        <v>9.386574074074075E-3</v>
      </c>
      <c r="G4" s="13">
        <f t="shared" si="0"/>
        <v>3.39</v>
      </c>
    </row>
    <row r="5" spans="1:7" x14ac:dyDescent="0.2">
      <c r="A5" s="12">
        <f>COUNTIF(E$2:E5,E5)</f>
        <v>1</v>
      </c>
      <c r="B5" s="12">
        <v>4</v>
      </c>
      <c r="C5" s="12" t="str">
        <f t="shared" si="1"/>
        <v>Chris Wright1</v>
      </c>
      <c r="D5" s="12">
        <v>1</v>
      </c>
      <c r="E5" t="str">
        <f>+'Stage Entry'!H7</f>
        <v>Chris Wright</v>
      </c>
      <c r="F5" s="119">
        <f>+'Stage Entry'!I7</f>
        <v>8.9467592592592585E-3</v>
      </c>
      <c r="G5" s="13">
        <f t="shared" si="0"/>
        <v>3.39</v>
      </c>
    </row>
    <row r="6" spans="1:7" x14ac:dyDescent="0.2">
      <c r="A6" s="12">
        <f>COUNTIF(E$2:E6,E6)</f>
        <v>1</v>
      </c>
      <c r="B6" s="12">
        <v>5</v>
      </c>
      <c r="C6" s="12" t="str">
        <f t="shared" si="1"/>
        <v>Glenn Carroll1</v>
      </c>
      <c r="D6" s="12">
        <v>1</v>
      </c>
      <c r="E6" t="str">
        <f>+'Stage Entry'!H8</f>
        <v>Glenn Carroll</v>
      </c>
      <c r="F6" s="119">
        <f>+'Stage Entry'!I8</f>
        <v>9.1782407407407403E-3</v>
      </c>
      <c r="G6" s="13">
        <f t="shared" si="0"/>
        <v>3.39</v>
      </c>
    </row>
    <row r="7" spans="1:7" x14ac:dyDescent="0.2">
      <c r="A7" s="12">
        <f>COUNTIF(E$2:E7,E7)</f>
        <v>1</v>
      </c>
      <c r="B7" s="12">
        <v>6</v>
      </c>
      <c r="C7" s="12" t="str">
        <f t="shared" si="1"/>
        <v>Kirsten Jackson1</v>
      </c>
      <c r="D7" s="12">
        <v>1</v>
      </c>
      <c r="E7" t="str">
        <f>+'Stage Entry'!H9</f>
        <v>Kirsten Jackson</v>
      </c>
      <c r="F7" s="119">
        <f>+'Stage Entry'!I9</f>
        <v>1.1145833333333334E-2</v>
      </c>
      <c r="G7" s="13">
        <f t="shared" si="0"/>
        <v>3.39</v>
      </c>
    </row>
    <row r="8" spans="1:7" x14ac:dyDescent="0.2">
      <c r="A8" s="12">
        <f>COUNTIF(E$2:E8,E8)</f>
        <v>1</v>
      </c>
      <c r="B8" s="12">
        <v>1</v>
      </c>
      <c r="C8" s="12" t="str">
        <f t="shared" si="1"/>
        <v>Norval Hope1</v>
      </c>
      <c r="D8" s="12">
        <v>2</v>
      </c>
      <c r="E8" t="str">
        <f>+'Stage Entry'!M4</f>
        <v>Norval Hope</v>
      </c>
      <c r="F8" s="119">
        <f>+'Stage Entry'!N4</f>
        <v>9.5601851851851855E-3</v>
      </c>
      <c r="G8" s="13">
        <f t="shared" si="0"/>
        <v>3.39</v>
      </c>
    </row>
    <row r="9" spans="1:7" x14ac:dyDescent="0.2">
      <c r="A9" s="12">
        <f>COUNTIF(E$2:E9,E9)</f>
        <v>1</v>
      </c>
      <c r="B9" s="12">
        <v>2</v>
      </c>
      <c r="C9" s="12" t="str">
        <f t="shared" si="1"/>
        <v>Shane Kent1</v>
      </c>
      <c r="D9" s="12">
        <v>2</v>
      </c>
      <c r="E9" t="str">
        <f>+'Stage Entry'!M5</f>
        <v>Shane Kent</v>
      </c>
      <c r="F9" s="119">
        <f>+'Stage Entry'!N5</f>
        <v>9.2013888888888892E-3</v>
      </c>
      <c r="G9" s="13">
        <f t="shared" si="0"/>
        <v>3.39</v>
      </c>
    </row>
    <row r="10" spans="1:7" x14ac:dyDescent="0.2">
      <c r="A10" s="12">
        <f>COUNTIF(E$2:E10,E10)</f>
        <v>1</v>
      </c>
      <c r="B10" s="12">
        <v>3</v>
      </c>
      <c r="C10" s="12" t="str">
        <f t="shared" si="1"/>
        <v>Ewen Vowels1</v>
      </c>
      <c r="D10" s="12">
        <v>2</v>
      </c>
      <c r="E10" t="str">
        <f>+'Stage Entry'!M6</f>
        <v>Ewen Vowels</v>
      </c>
      <c r="F10" s="119">
        <f>+'Stage Entry'!N6</f>
        <v>9.1666666666666667E-3</v>
      </c>
      <c r="G10" s="13">
        <f t="shared" si="0"/>
        <v>3.39</v>
      </c>
    </row>
    <row r="11" spans="1:7" x14ac:dyDescent="0.2">
      <c r="A11" s="12">
        <f>COUNTIF(E$2:E11,E11)</f>
        <v>1</v>
      </c>
      <c r="B11" s="12">
        <v>4</v>
      </c>
      <c r="C11" s="12" t="str">
        <f t="shared" si="1"/>
        <v>David Hartley1</v>
      </c>
      <c r="D11" s="12">
        <v>2</v>
      </c>
      <c r="E11" t="str">
        <f>+'Stage Entry'!M7</f>
        <v>David Hartley</v>
      </c>
      <c r="F11" s="119">
        <f>+'Stage Entry'!N7</f>
        <v>9.6643518518518511E-3</v>
      </c>
      <c r="G11" s="13">
        <f t="shared" si="0"/>
        <v>3.39</v>
      </c>
    </row>
    <row r="12" spans="1:7" x14ac:dyDescent="0.2">
      <c r="A12" s="12">
        <f>COUNTIF(E$2:E12,E12)</f>
        <v>1</v>
      </c>
      <c r="B12" s="12">
        <v>5</v>
      </c>
      <c r="C12" s="12" t="str">
        <f t="shared" si="1"/>
        <v>Martin Duchovny1</v>
      </c>
      <c r="D12" s="12">
        <v>2</v>
      </c>
      <c r="E12" t="str">
        <f>+'Stage Entry'!M8</f>
        <v>Martin Duchovny</v>
      </c>
      <c r="F12" s="119">
        <f>+'Stage Entry'!N8</f>
        <v>9.5370370370370366E-3</v>
      </c>
      <c r="G12" s="13">
        <f t="shared" si="0"/>
        <v>3.39</v>
      </c>
    </row>
    <row r="13" spans="1:7" x14ac:dyDescent="0.2">
      <c r="A13" s="12">
        <f>COUNTIF(E$2:E13,E13)</f>
        <v>1</v>
      </c>
      <c r="B13" s="12">
        <v>6</v>
      </c>
      <c r="C13" s="12" t="str">
        <f t="shared" si="1"/>
        <v>Nick Turner1</v>
      </c>
      <c r="D13" s="12">
        <v>2</v>
      </c>
      <c r="E13" t="str">
        <f>+'Stage Entry'!M9</f>
        <v>Nick Turner</v>
      </c>
      <c r="F13" s="119">
        <f>+'Stage Entry'!N9</f>
        <v>9.1782407407407403E-3</v>
      </c>
      <c r="G13" s="13">
        <f t="shared" si="0"/>
        <v>3.39</v>
      </c>
    </row>
    <row r="14" spans="1:7" x14ac:dyDescent="0.2">
      <c r="A14" s="12">
        <f>COUNTIF(E$2:E14,E14)</f>
        <v>1</v>
      </c>
      <c r="B14" s="12">
        <v>1</v>
      </c>
      <c r="C14" s="12" t="str">
        <f t="shared" si="1"/>
        <v>David Burnheim1</v>
      </c>
      <c r="D14" s="12">
        <v>3</v>
      </c>
      <c r="E14" t="str">
        <f>+'Stage Entry'!R4</f>
        <v>David Burnheim</v>
      </c>
      <c r="F14" s="119">
        <f>+'Stage Entry'!S4</f>
        <v>1.0902777777777777E-2</v>
      </c>
      <c r="G14" s="13">
        <f t="shared" ref="G14:G19" si="2">+Dist2</f>
        <v>3.39</v>
      </c>
    </row>
    <row r="15" spans="1:7" x14ac:dyDescent="0.2">
      <c r="A15" s="12">
        <f>COUNTIF(E$2:E15,E15)</f>
        <v>1</v>
      </c>
      <c r="B15" s="12">
        <v>2</v>
      </c>
      <c r="C15" s="12" t="str">
        <f t="shared" si="1"/>
        <v>Simon Walker1</v>
      </c>
      <c r="D15" s="12">
        <v>3</v>
      </c>
      <c r="E15" t="str">
        <f>+'Stage Entry'!R5</f>
        <v>Simon Walker</v>
      </c>
      <c r="F15" s="119">
        <f>+'Stage Entry'!S5</f>
        <v>1.0254629629629629E-2</v>
      </c>
      <c r="G15" s="13">
        <f t="shared" si="2"/>
        <v>3.39</v>
      </c>
    </row>
    <row r="16" spans="1:7" x14ac:dyDescent="0.2">
      <c r="A16" s="12">
        <f>COUNTIF(E$2:E16,E16)</f>
        <v>1</v>
      </c>
      <c r="B16" s="12">
        <v>3</v>
      </c>
      <c r="C16" s="12" t="str">
        <f t="shared" si="1"/>
        <v>Nick Tobin1</v>
      </c>
      <c r="D16" s="12">
        <v>3</v>
      </c>
      <c r="E16" t="str">
        <f>+'Stage Entry'!R6</f>
        <v>Nick Tobin</v>
      </c>
      <c r="F16" s="119">
        <f>+'Stage Entry'!S6</f>
        <v>1.0706018518518517E-2</v>
      </c>
      <c r="G16" s="13">
        <f t="shared" si="2"/>
        <v>3.39</v>
      </c>
    </row>
    <row r="17" spans="1:7" x14ac:dyDescent="0.2">
      <c r="A17" s="12">
        <f>COUNTIF(E$2:E17,E17)</f>
        <v>1</v>
      </c>
      <c r="B17" s="12">
        <v>4</v>
      </c>
      <c r="C17" s="12" t="str">
        <f t="shared" si="1"/>
        <v>John Dixon1</v>
      </c>
      <c r="D17" s="12">
        <v>3</v>
      </c>
      <c r="E17" t="str">
        <f>+'Stage Entry'!R7</f>
        <v>John Dixon</v>
      </c>
      <c r="F17" s="119">
        <f>+'Stage Entry'!S7</f>
        <v>9.7337962962962977E-3</v>
      </c>
      <c r="G17" s="13">
        <f t="shared" si="2"/>
        <v>3.39</v>
      </c>
    </row>
    <row r="18" spans="1:7" x14ac:dyDescent="0.2">
      <c r="A18" s="12">
        <f>COUNTIF(E$2:E18,E18)</f>
        <v>1</v>
      </c>
      <c r="B18" s="12">
        <v>5</v>
      </c>
      <c r="C18" s="12" t="str">
        <f t="shared" si="1"/>
        <v>Chris Osborne1</v>
      </c>
      <c r="D18" s="12">
        <v>3</v>
      </c>
      <c r="E18" t="str">
        <f>+'Stage Entry'!R8</f>
        <v>Chris Osborne</v>
      </c>
      <c r="F18" s="119">
        <f>+'Stage Entry'!S8</f>
        <v>9.7569444444444448E-3</v>
      </c>
      <c r="G18" s="13">
        <f t="shared" si="2"/>
        <v>3.39</v>
      </c>
    </row>
    <row r="19" spans="1:7" x14ac:dyDescent="0.2">
      <c r="A19" s="12">
        <f>COUNTIF(E$2:E19,E19)</f>
        <v>1</v>
      </c>
      <c r="B19" s="12">
        <v>6</v>
      </c>
      <c r="C19" s="12" t="str">
        <f t="shared" si="1"/>
        <v>James Chiriano1</v>
      </c>
      <c r="D19" s="12">
        <v>3</v>
      </c>
      <c r="E19" t="str">
        <f>+'Stage Entry'!R9</f>
        <v>James Chiriano</v>
      </c>
      <c r="F19" s="119">
        <f>+'Stage Entry'!S9</f>
        <v>9.2939814814814812E-3</v>
      </c>
      <c r="G19" s="13">
        <f t="shared" si="2"/>
        <v>3.39</v>
      </c>
    </row>
    <row r="20" spans="1:7" x14ac:dyDescent="0.2">
      <c r="A20" s="12">
        <f>COUNTIF(E$2:E20,E20)</f>
        <v>1</v>
      </c>
      <c r="B20" s="12">
        <v>1</v>
      </c>
      <c r="C20" s="12" t="str">
        <f t="shared" si="1"/>
        <v>Simon Bevege1</v>
      </c>
      <c r="D20" s="12">
        <v>4</v>
      </c>
      <c r="E20" t="str">
        <f>+'Stage Entry'!W4</f>
        <v>Simon Bevege</v>
      </c>
      <c r="F20" s="119">
        <f>+'Stage Entry'!X4</f>
        <v>8.4953703703703701E-3</v>
      </c>
      <c r="G20" s="13">
        <f t="shared" ref="G20:G25" si="3">+Dist3</f>
        <v>3.39</v>
      </c>
    </row>
    <row r="21" spans="1:7" x14ac:dyDescent="0.2">
      <c r="A21" s="12">
        <f>COUNTIF(E$2:E21,E21)</f>
        <v>1</v>
      </c>
      <c r="B21" s="12">
        <v>2</v>
      </c>
      <c r="C21" s="12" t="str">
        <f t="shared" si="1"/>
        <v>Mark Stodden1</v>
      </c>
      <c r="D21" s="12">
        <v>4</v>
      </c>
      <c r="E21" t="str">
        <f>+'Stage Entry'!W5</f>
        <v>Mark Stodden</v>
      </c>
      <c r="F21" s="119">
        <f>+'Stage Entry'!X5</f>
        <v>8.8773148148148153E-3</v>
      </c>
      <c r="G21" s="13">
        <f t="shared" si="3"/>
        <v>3.39</v>
      </c>
    </row>
    <row r="22" spans="1:7" x14ac:dyDescent="0.2">
      <c r="A22" s="12">
        <f>COUNTIF(E$2:E22,E22)</f>
        <v>1</v>
      </c>
      <c r="B22" s="12">
        <v>3</v>
      </c>
      <c r="C22" s="12" t="str">
        <f t="shared" si="1"/>
        <v>Richard Does1</v>
      </c>
      <c r="D22" s="12">
        <v>4</v>
      </c>
      <c r="E22" t="str">
        <f>+'Stage Entry'!W6</f>
        <v>Richard Does</v>
      </c>
      <c r="F22" s="119">
        <f>+'Stage Entry'!X6</f>
        <v>8.4143518518518517E-3</v>
      </c>
      <c r="G22" s="13">
        <f t="shared" si="3"/>
        <v>3.39</v>
      </c>
    </row>
    <row r="23" spans="1:7" x14ac:dyDescent="0.2">
      <c r="A23" s="12">
        <f>COUNTIF(E$2:E23,E23)</f>
        <v>1</v>
      </c>
      <c r="B23" s="12">
        <v>4</v>
      </c>
      <c r="C23" s="12" t="str">
        <f t="shared" si="1"/>
        <v>Anthony Mithen1</v>
      </c>
      <c r="D23" s="12">
        <v>4</v>
      </c>
      <c r="E23" t="str">
        <f>+'Stage Entry'!W7</f>
        <v>Anthony Mithen</v>
      </c>
      <c r="F23" s="119">
        <f>+'Stage Entry'!X7</f>
        <v>8.9236111111111113E-3</v>
      </c>
      <c r="G23" s="13">
        <f t="shared" si="3"/>
        <v>3.39</v>
      </c>
    </row>
    <row r="24" spans="1:7" x14ac:dyDescent="0.2">
      <c r="A24" s="12">
        <f>COUNTIF(E$2:E24,E24)</f>
        <v>1</v>
      </c>
      <c r="B24" s="12">
        <v>5</v>
      </c>
      <c r="C24" s="12" t="str">
        <f t="shared" si="1"/>
        <v>David Alcock1</v>
      </c>
      <c r="D24" s="12">
        <v>4</v>
      </c>
      <c r="E24" t="str">
        <f>+'Stage Entry'!W8</f>
        <v>David Alcock</v>
      </c>
      <c r="F24" s="119">
        <f>+'Stage Entry'!X8</f>
        <v>8.773148148148148E-3</v>
      </c>
      <c r="G24" s="13">
        <f t="shared" si="3"/>
        <v>3.39</v>
      </c>
    </row>
    <row r="25" spans="1:7" x14ac:dyDescent="0.2">
      <c r="A25" s="12">
        <f>COUNTIF(E$2:E25,E25)</f>
        <v>1</v>
      </c>
      <c r="B25" s="12">
        <v>6</v>
      </c>
      <c r="C25" s="12" t="str">
        <f t="shared" si="1"/>
        <v>Rob Dalton1</v>
      </c>
      <c r="D25" s="12">
        <v>4</v>
      </c>
      <c r="E25" t="str">
        <f>+'Stage Entry'!W9</f>
        <v>Rob Dalton</v>
      </c>
      <c r="F25" s="119">
        <f>+'Stage Entry'!X9</f>
        <v>8.9583333333333338E-3</v>
      </c>
      <c r="G25" s="13">
        <f t="shared" si="3"/>
        <v>3.39</v>
      </c>
    </row>
    <row r="26" spans="1:7" x14ac:dyDescent="0.2">
      <c r="A26" s="12">
        <f>COUNTIF(E$2:E26,E26)</f>
        <v>2</v>
      </c>
      <c r="B26" s="12">
        <v>1</v>
      </c>
      <c r="C26" s="12" t="str">
        <f t="shared" si="1"/>
        <v>Thai Phan2</v>
      </c>
      <c r="D26" s="12">
        <v>5</v>
      </c>
      <c r="E26" t="str">
        <f>+'Stage Entry'!AB4</f>
        <v>Thai Phan</v>
      </c>
      <c r="F26" s="119">
        <f>+'Stage Entry'!AC4</f>
        <v>1.2210648148148146E-2</v>
      </c>
      <c r="G26" s="13">
        <f t="shared" ref="G26:G31" si="4">+Dist4</f>
        <v>4</v>
      </c>
    </row>
    <row r="27" spans="1:7" x14ac:dyDescent="0.2">
      <c r="A27" s="12">
        <f>COUNTIF(E$2:E27,E27)</f>
        <v>2</v>
      </c>
      <c r="B27" s="12">
        <v>2</v>
      </c>
      <c r="C27" s="12" t="str">
        <f t="shared" si="1"/>
        <v>Glenn Goodman2</v>
      </c>
      <c r="D27" s="12">
        <v>5</v>
      </c>
      <c r="E27" t="str">
        <f>+'Stage Entry'!AB5</f>
        <v>Glenn Goodman</v>
      </c>
      <c r="F27" s="119">
        <f>+'Stage Entry'!AC5</f>
        <v>1.2326388888888888E-2</v>
      </c>
      <c r="G27" s="13">
        <f t="shared" si="4"/>
        <v>4</v>
      </c>
    </row>
    <row r="28" spans="1:7" x14ac:dyDescent="0.2">
      <c r="A28" s="12">
        <f>COUNTIF(E$2:E28,E28)</f>
        <v>2</v>
      </c>
      <c r="B28" s="12">
        <v>3</v>
      </c>
      <c r="C28" s="12" t="str">
        <f t="shared" si="1"/>
        <v>Ian Dent2</v>
      </c>
      <c r="D28" s="12">
        <v>5</v>
      </c>
      <c r="E28" t="str">
        <f>+'Stage Entry'!AB6</f>
        <v>Ian Dent</v>
      </c>
      <c r="F28" s="119">
        <f>+'Stage Entry'!AC6</f>
        <v>1.2569444444444446E-2</v>
      </c>
      <c r="G28" s="13">
        <f t="shared" si="4"/>
        <v>4</v>
      </c>
    </row>
    <row r="29" spans="1:7" x14ac:dyDescent="0.2">
      <c r="A29" s="12">
        <f>COUNTIF(E$2:E29,E29)</f>
        <v>2</v>
      </c>
      <c r="B29" s="12">
        <v>4</v>
      </c>
      <c r="C29" s="12" t="str">
        <f t="shared" si="1"/>
        <v>Chris Wright2</v>
      </c>
      <c r="D29" s="12">
        <v>5</v>
      </c>
      <c r="E29" t="str">
        <f>+'Stage Entry'!AB7</f>
        <v>Chris Wright</v>
      </c>
      <c r="F29" s="119">
        <f>+'Stage Entry'!AC7</f>
        <v>1.1493055555555555E-2</v>
      </c>
      <c r="G29" s="13">
        <f t="shared" si="4"/>
        <v>4</v>
      </c>
    </row>
    <row r="30" spans="1:7" x14ac:dyDescent="0.2">
      <c r="A30" s="12">
        <f>COUNTIF(E$2:E30,E30)</f>
        <v>2</v>
      </c>
      <c r="B30" s="12">
        <v>5</v>
      </c>
      <c r="C30" s="12" t="str">
        <f t="shared" si="1"/>
        <v>Glenn Carroll2</v>
      </c>
      <c r="D30" s="12">
        <v>5</v>
      </c>
      <c r="E30" t="str">
        <f>+'Stage Entry'!AB8</f>
        <v>Glenn Carroll</v>
      </c>
      <c r="F30" s="119">
        <f>+'Stage Entry'!AC8</f>
        <v>1.2152777777777778E-2</v>
      </c>
      <c r="G30" s="13">
        <f t="shared" si="4"/>
        <v>4</v>
      </c>
    </row>
    <row r="31" spans="1:7" x14ac:dyDescent="0.2">
      <c r="A31" s="12">
        <f>COUNTIF(E$2:E31,E31)</f>
        <v>2</v>
      </c>
      <c r="B31" s="12">
        <v>6</v>
      </c>
      <c r="C31" s="12" t="str">
        <f t="shared" si="1"/>
        <v>Kirsten Jackson2</v>
      </c>
      <c r="D31" s="12">
        <v>5</v>
      </c>
      <c r="E31" t="str">
        <f>+'Stage Entry'!AB9</f>
        <v>Kirsten Jackson</v>
      </c>
      <c r="F31" s="119">
        <f>+'Stage Entry'!AC9</f>
        <v>1.3229166666666667E-2</v>
      </c>
      <c r="G31" s="13">
        <f t="shared" si="4"/>
        <v>4</v>
      </c>
    </row>
    <row r="32" spans="1:7" x14ac:dyDescent="0.2">
      <c r="A32" s="12">
        <f>COUNTIF(E$2:E32,E32)</f>
        <v>2</v>
      </c>
      <c r="B32" s="12">
        <v>1</v>
      </c>
      <c r="C32" s="12" t="str">
        <f t="shared" si="1"/>
        <v>Norval Hope2</v>
      </c>
      <c r="D32" s="12">
        <v>6</v>
      </c>
      <c r="E32" t="str">
        <f>+'Stage Entry'!AG4</f>
        <v>Norval Hope</v>
      </c>
      <c r="F32" s="119">
        <f>+'Stage Entry'!AH4</f>
        <v>1.1203703703703704E-2</v>
      </c>
      <c r="G32" s="13">
        <f t="shared" ref="G32:G37" si="5">+Dist5</f>
        <v>4.2699999999999996</v>
      </c>
    </row>
    <row r="33" spans="1:7" x14ac:dyDescent="0.2">
      <c r="A33" s="12">
        <f>COUNTIF(E$2:E33,E33)</f>
        <v>2</v>
      </c>
      <c r="B33" s="12">
        <v>2</v>
      </c>
      <c r="C33" s="12" t="str">
        <f t="shared" si="1"/>
        <v>Shane Kent2</v>
      </c>
      <c r="D33" s="12">
        <v>6</v>
      </c>
      <c r="E33" t="str">
        <f>+'Stage Entry'!AG5</f>
        <v>Shane Kent</v>
      </c>
      <c r="F33" s="119">
        <f>+'Stage Entry'!AH5</f>
        <v>1.0601851851851854E-2</v>
      </c>
      <c r="G33" s="13">
        <f t="shared" si="5"/>
        <v>4.2699999999999996</v>
      </c>
    </row>
    <row r="34" spans="1:7" x14ac:dyDescent="0.2">
      <c r="A34" s="12">
        <f>COUNTIF(E$2:E34,E34)</f>
        <v>2</v>
      </c>
      <c r="B34" s="12">
        <v>3</v>
      </c>
      <c r="C34" s="12" t="str">
        <f t="shared" si="1"/>
        <v>Ewen Vowels2</v>
      </c>
      <c r="D34" s="12">
        <v>6</v>
      </c>
      <c r="E34" t="str">
        <f>+'Stage Entry'!AG6</f>
        <v>Ewen Vowels</v>
      </c>
      <c r="F34" s="119">
        <f>+'Stage Entry'!AH6</f>
        <v>1.0937500000000001E-2</v>
      </c>
      <c r="G34" s="13">
        <f t="shared" si="5"/>
        <v>4.2699999999999996</v>
      </c>
    </row>
    <row r="35" spans="1:7" x14ac:dyDescent="0.2">
      <c r="A35" s="12">
        <f>COUNTIF(E$2:E35,E35)</f>
        <v>2</v>
      </c>
      <c r="B35" s="12">
        <v>4</v>
      </c>
      <c r="C35" s="12" t="str">
        <f t="shared" si="1"/>
        <v>David Hartley2</v>
      </c>
      <c r="D35" s="12">
        <v>6</v>
      </c>
      <c r="E35" t="str">
        <f>+'Stage Entry'!AG7</f>
        <v>David Hartley</v>
      </c>
      <c r="F35" s="119">
        <f>+'Stage Entry'!AH7</f>
        <v>1.1446759259259261E-2</v>
      </c>
      <c r="G35" s="13">
        <f t="shared" si="5"/>
        <v>4.2699999999999996</v>
      </c>
    </row>
    <row r="36" spans="1:7" x14ac:dyDescent="0.2">
      <c r="A36" s="12">
        <f>COUNTIF(E$2:E36,E36)</f>
        <v>2</v>
      </c>
      <c r="B36" s="12">
        <v>5</v>
      </c>
      <c r="C36" s="12" t="str">
        <f t="shared" si="1"/>
        <v>Chris Osborne2</v>
      </c>
      <c r="D36" s="12">
        <v>6</v>
      </c>
      <c r="E36" t="str">
        <f>+'Stage Entry'!AG8</f>
        <v>Chris Osborne</v>
      </c>
      <c r="F36" s="119">
        <f>+'Stage Entry'!AH8</f>
        <v>1.1087962962962964E-2</v>
      </c>
      <c r="G36" s="13">
        <f t="shared" si="5"/>
        <v>4.2699999999999996</v>
      </c>
    </row>
    <row r="37" spans="1:7" x14ac:dyDescent="0.2">
      <c r="A37" s="12">
        <f>COUNTIF(E$2:E37,E37)</f>
        <v>2</v>
      </c>
      <c r="B37" s="12">
        <v>6</v>
      </c>
      <c r="C37" s="12" t="str">
        <f t="shared" si="1"/>
        <v>Nick Turner2</v>
      </c>
      <c r="D37" s="12">
        <v>6</v>
      </c>
      <c r="E37" t="str">
        <f>+'Stage Entry'!AG9</f>
        <v>Nick Turner</v>
      </c>
      <c r="F37" s="119">
        <f>+'Stage Entry'!AH9</f>
        <v>1.0219907407407408E-2</v>
      </c>
      <c r="G37" s="13">
        <f t="shared" si="5"/>
        <v>4.2699999999999996</v>
      </c>
    </row>
    <row r="38" spans="1:7" x14ac:dyDescent="0.2">
      <c r="A38" s="12">
        <f>COUNTIF(E$2:E38,E38)</f>
        <v>2</v>
      </c>
      <c r="B38" s="12">
        <v>1</v>
      </c>
      <c r="C38" s="12" t="str">
        <f t="shared" si="1"/>
        <v>David Burnheim2</v>
      </c>
      <c r="D38" s="12">
        <v>7</v>
      </c>
      <c r="E38" t="str">
        <f>+'Stage Entry'!AL4</f>
        <v>David Burnheim</v>
      </c>
      <c r="F38" s="119">
        <f>+'Stage Entry'!AM4</f>
        <v>8.3680555555555557E-3</v>
      </c>
      <c r="G38" s="13">
        <f t="shared" ref="G38:G43" si="6">+Dist6</f>
        <v>3.2</v>
      </c>
    </row>
    <row r="39" spans="1:7" x14ac:dyDescent="0.2">
      <c r="A39" s="12">
        <f>COUNTIF(E$2:E39,E39)</f>
        <v>2</v>
      </c>
      <c r="B39" s="12">
        <v>2</v>
      </c>
      <c r="C39" s="12" t="str">
        <f t="shared" si="1"/>
        <v>Simon Walker2</v>
      </c>
      <c r="D39" s="12">
        <v>7</v>
      </c>
      <c r="E39" t="str">
        <f>+'Stage Entry'!AL5</f>
        <v>Simon Walker</v>
      </c>
      <c r="F39" s="119">
        <f>+'Stage Entry'!AM5</f>
        <v>8.3564814814814804E-3</v>
      </c>
      <c r="G39" s="13">
        <f t="shared" si="6"/>
        <v>3.2</v>
      </c>
    </row>
    <row r="40" spans="1:7" x14ac:dyDescent="0.2">
      <c r="A40" s="12">
        <f>COUNTIF(E$2:E40,E40)</f>
        <v>2</v>
      </c>
      <c r="B40" s="12">
        <v>3</v>
      </c>
      <c r="C40" s="12" t="str">
        <f t="shared" si="1"/>
        <v>Nick Tobin2</v>
      </c>
      <c r="D40" s="12">
        <v>7</v>
      </c>
      <c r="E40" t="str">
        <f>+'Stage Entry'!AL6</f>
        <v>Nick Tobin</v>
      </c>
      <c r="F40" s="119">
        <f>+'Stage Entry'!AM6</f>
        <v>8.1712962962962963E-3</v>
      </c>
      <c r="G40" s="13">
        <f t="shared" si="6"/>
        <v>3.2</v>
      </c>
    </row>
    <row r="41" spans="1:7" x14ac:dyDescent="0.2">
      <c r="A41" s="12">
        <f>COUNTIF(E$2:E41,E41)</f>
        <v>2</v>
      </c>
      <c r="B41" s="12">
        <v>4</v>
      </c>
      <c r="C41" s="12" t="str">
        <f t="shared" si="1"/>
        <v>John Dixon2</v>
      </c>
      <c r="D41" s="12">
        <v>7</v>
      </c>
      <c r="E41" t="str">
        <f>+'Stage Entry'!AL7</f>
        <v>John Dixon</v>
      </c>
      <c r="F41" s="119">
        <f>+'Stage Entry'!AM7</f>
        <v>7.4305555555555548E-3</v>
      </c>
      <c r="G41" s="13">
        <f t="shared" si="6"/>
        <v>3.2</v>
      </c>
    </row>
    <row r="42" spans="1:7" x14ac:dyDescent="0.2">
      <c r="A42" s="12">
        <f>COUNTIF(E$2:E42,E42)</f>
        <v>2</v>
      </c>
      <c r="B42" s="12">
        <v>5</v>
      </c>
      <c r="C42" s="12" t="str">
        <f t="shared" si="1"/>
        <v>Martin Duchovny2</v>
      </c>
      <c r="D42" s="12">
        <v>7</v>
      </c>
      <c r="E42" t="str">
        <f>+'Stage Entry'!AL8</f>
        <v>Martin Duchovny</v>
      </c>
      <c r="F42" s="119">
        <f>+'Stage Entry'!AM8</f>
        <v>7.5694444444444446E-3</v>
      </c>
      <c r="G42" s="13">
        <f t="shared" si="6"/>
        <v>3.2</v>
      </c>
    </row>
    <row r="43" spans="1:7" x14ac:dyDescent="0.2">
      <c r="A43" s="12">
        <f>COUNTIF(E$2:E43,E43)</f>
        <v>2</v>
      </c>
      <c r="B43" s="12">
        <v>6</v>
      </c>
      <c r="C43" s="12" t="str">
        <f t="shared" si="1"/>
        <v>James Chiriano2</v>
      </c>
      <c r="D43" s="12">
        <v>7</v>
      </c>
      <c r="E43" t="str">
        <f>+'Stage Entry'!AL9</f>
        <v>James Chiriano</v>
      </c>
      <c r="F43" s="119">
        <f>+'Stage Entry'!AM9</f>
        <v>7.5115740740740742E-3</v>
      </c>
      <c r="G43" s="13">
        <f t="shared" si="6"/>
        <v>3.2</v>
      </c>
    </row>
    <row r="44" spans="1:7" x14ac:dyDescent="0.2">
      <c r="A44" s="12">
        <f>COUNTIF(E$2:E44,E44)</f>
        <v>2</v>
      </c>
      <c r="B44" s="12">
        <v>1</v>
      </c>
      <c r="C44" s="12" t="str">
        <f t="shared" si="1"/>
        <v>Simon Bevege2</v>
      </c>
      <c r="D44" s="12">
        <v>8</v>
      </c>
      <c r="E44" t="str">
        <f>+'Stage Entry'!AQ4</f>
        <v>Simon Bevege</v>
      </c>
      <c r="F44" s="119">
        <f>+'Stage Entry'!AR4</f>
        <v>1.3275462962962963E-2</v>
      </c>
      <c r="G44" s="13">
        <f t="shared" ref="G44:G49" si="7">+Dist7</f>
        <v>5</v>
      </c>
    </row>
    <row r="45" spans="1:7" x14ac:dyDescent="0.2">
      <c r="A45" s="12">
        <f>COUNTIF(E$2:E45,E45)</f>
        <v>2</v>
      </c>
      <c r="B45" s="12">
        <v>2</v>
      </c>
      <c r="C45" s="12" t="str">
        <f t="shared" si="1"/>
        <v>Mark Stodden2</v>
      </c>
      <c r="D45" s="12">
        <v>8</v>
      </c>
      <c r="E45" t="str">
        <f>+'Stage Entry'!AQ5</f>
        <v>Mark Stodden</v>
      </c>
      <c r="F45" s="119">
        <f>+'Stage Entry'!AR5</f>
        <v>1.3935185185185184E-2</v>
      </c>
      <c r="G45" s="13">
        <f t="shared" si="7"/>
        <v>5</v>
      </c>
    </row>
    <row r="46" spans="1:7" x14ac:dyDescent="0.2">
      <c r="A46" s="12">
        <f>COUNTIF(E$2:E46,E46)</f>
        <v>2</v>
      </c>
      <c r="B46" s="12">
        <v>3</v>
      </c>
      <c r="C46" s="12" t="str">
        <f t="shared" si="1"/>
        <v>Richard Does2</v>
      </c>
      <c r="D46" s="12">
        <v>8</v>
      </c>
      <c r="E46" t="str">
        <f>+'Stage Entry'!AQ6</f>
        <v>Richard Does</v>
      </c>
      <c r="F46" s="119">
        <f>+'Stage Entry'!AR6</f>
        <v>1.3321759259259261E-2</v>
      </c>
      <c r="G46" s="13">
        <f t="shared" si="7"/>
        <v>5</v>
      </c>
    </row>
    <row r="47" spans="1:7" x14ac:dyDescent="0.2">
      <c r="A47" s="12">
        <f>COUNTIF(E$2:E47,E47)</f>
        <v>2</v>
      </c>
      <c r="B47" s="12">
        <v>4</v>
      </c>
      <c r="C47" s="12" t="str">
        <f t="shared" si="1"/>
        <v>Anthony Mithen2</v>
      </c>
      <c r="D47" s="12">
        <v>8</v>
      </c>
      <c r="E47" t="str">
        <f>+'Stage Entry'!AQ7</f>
        <v>Anthony Mithen</v>
      </c>
      <c r="F47" s="119">
        <f>+'Stage Entry'!AR7</f>
        <v>1.4340277777777776E-2</v>
      </c>
      <c r="G47" s="13">
        <f t="shared" si="7"/>
        <v>5</v>
      </c>
    </row>
    <row r="48" spans="1:7" x14ac:dyDescent="0.2">
      <c r="A48" s="12">
        <f>COUNTIF(E$2:E48,E48)</f>
        <v>2</v>
      </c>
      <c r="B48" s="12">
        <v>5</v>
      </c>
      <c r="C48" s="12" t="str">
        <f t="shared" si="1"/>
        <v>David Alcock2</v>
      </c>
      <c r="D48" s="12">
        <v>8</v>
      </c>
      <c r="E48" t="str">
        <f>+'Stage Entry'!AQ8</f>
        <v>David Alcock</v>
      </c>
      <c r="F48" s="119">
        <f>+'Stage Entry'!AR8</f>
        <v>1.4201388888888888E-2</v>
      </c>
      <c r="G48" s="13">
        <f t="shared" si="7"/>
        <v>5</v>
      </c>
    </row>
    <row r="49" spans="1:7" x14ac:dyDescent="0.2">
      <c r="A49" s="12">
        <f>COUNTIF(E$2:E49,E49)</f>
        <v>2</v>
      </c>
      <c r="B49" s="12">
        <v>6</v>
      </c>
      <c r="C49" s="12" t="str">
        <f t="shared" si="1"/>
        <v>Rob Dalton2</v>
      </c>
      <c r="D49" s="12">
        <v>8</v>
      </c>
      <c r="E49" t="str">
        <f>+'Stage Entry'!AQ9</f>
        <v>Rob Dalton</v>
      </c>
      <c r="F49" s="119">
        <f>+'Stage Entry'!AR9</f>
        <v>1.4444444444444446E-2</v>
      </c>
      <c r="G49" s="13">
        <f t="shared" si="7"/>
        <v>5</v>
      </c>
    </row>
    <row r="50" spans="1:7" x14ac:dyDescent="0.2">
      <c r="A50" s="12">
        <f>COUNTIF(E$2:E50,E50)</f>
        <v>3</v>
      </c>
      <c r="B50" s="12">
        <v>1</v>
      </c>
      <c r="C50" s="12" t="str">
        <f t="shared" si="1"/>
        <v>Norval Hope3</v>
      </c>
      <c r="D50" s="12">
        <v>9</v>
      </c>
      <c r="E50" t="str">
        <f>+'Stage Entry'!H13</f>
        <v>Norval Hope</v>
      </c>
      <c r="F50" s="119">
        <f>+'Stage Entry'!I13</f>
        <v>1.1331018518518518E-2</v>
      </c>
      <c r="G50" s="13">
        <f t="shared" ref="G50:G55" si="8">+Dist8</f>
        <v>3.66</v>
      </c>
    </row>
    <row r="51" spans="1:7" x14ac:dyDescent="0.2">
      <c r="A51" s="12">
        <f>COUNTIF(E$2:E51,E51)</f>
        <v>3</v>
      </c>
      <c r="B51" s="12">
        <v>2</v>
      </c>
      <c r="C51" s="12" t="str">
        <f t="shared" si="1"/>
        <v>Shane Kent3</v>
      </c>
      <c r="D51" s="12">
        <v>9</v>
      </c>
      <c r="E51" t="str">
        <f>+'Stage Entry'!H14</f>
        <v>Shane Kent</v>
      </c>
      <c r="F51" s="119">
        <f>+'Stage Entry'!I14</f>
        <v>1.0555555555555554E-2</v>
      </c>
      <c r="G51" s="13">
        <f t="shared" si="8"/>
        <v>3.66</v>
      </c>
    </row>
    <row r="52" spans="1:7" x14ac:dyDescent="0.2">
      <c r="A52" s="12">
        <f>COUNTIF(E$2:E52,E52)</f>
        <v>3</v>
      </c>
      <c r="B52" s="12">
        <v>3</v>
      </c>
      <c r="C52" s="12" t="str">
        <f t="shared" si="1"/>
        <v>Ian Dent3</v>
      </c>
      <c r="D52" s="12">
        <v>9</v>
      </c>
      <c r="E52" t="str">
        <f>+'Stage Entry'!H15</f>
        <v>Ian Dent</v>
      </c>
      <c r="F52" s="119">
        <f>+'Stage Entry'!I15</f>
        <v>1.113425925925926E-2</v>
      </c>
      <c r="G52" s="13">
        <f t="shared" si="8"/>
        <v>3.66</v>
      </c>
    </row>
    <row r="53" spans="1:7" x14ac:dyDescent="0.2">
      <c r="A53" s="12">
        <f>COUNTIF(E$2:E53,E53)</f>
        <v>3</v>
      </c>
      <c r="B53" s="12">
        <v>4</v>
      </c>
      <c r="C53" s="12" t="str">
        <f t="shared" si="1"/>
        <v>Anthony Mithen3</v>
      </c>
      <c r="D53" s="12">
        <v>9</v>
      </c>
      <c r="E53" t="str">
        <f>+'Stage Entry'!H16</f>
        <v>Anthony Mithen</v>
      </c>
      <c r="F53" s="119">
        <f>+'Stage Entry'!I16</f>
        <v>1.0393518518518519E-2</v>
      </c>
      <c r="G53" s="13">
        <f t="shared" si="8"/>
        <v>3.66</v>
      </c>
    </row>
    <row r="54" spans="1:7" x14ac:dyDescent="0.2">
      <c r="A54" s="12">
        <f>COUNTIF(E$2:E54,E54)</f>
        <v>3</v>
      </c>
      <c r="B54" s="12">
        <v>5</v>
      </c>
      <c r="C54" s="12" t="str">
        <f t="shared" si="1"/>
        <v>Glenn Carroll3</v>
      </c>
      <c r="D54" s="12">
        <v>9</v>
      </c>
      <c r="E54" t="str">
        <f>+'Stage Entry'!H17</f>
        <v>Glenn Carroll</v>
      </c>
      <c r="F54" s="119">
        <f>+'Stage Entry'!I17</f>
        <v>1.064814814814815E-2</v>
      </c>
      <c r="G54" s="13">
        <f t="shared" si="8"/>
        <v>3.66</v>
      </c>
    </row>
    <row r="55" spans="1:7" x14ac:dyDescent="0.2">
      <c r="A55" s="12">
        <f>COUNTIF(E$2:E55,E55)</f>
        <v>3</v>
      </c>
      <c r="B55" s="12">
        <v>6</v>
      </c>
      <c r="C55" s="12" t="str">
        <f t="shared" si="1"/>
        <v>James Chiriano3</v>
      </c>
      <c r="D55" s="12">
        <v>9</v>
      </c>
      <c r="E55" t="str">
        <f>+'Stage Entry'!H18</f>
        <v>James Chiriano</v>
      </c>
      <c r="F55" s="119">
        <f>+'Stage Entry'!I18</f>
        <v>1.2673611111111109E-2</v>
      </c>
      <c r="G55" s="13">
        <f t="shared" si="8"/>
        <v>3.66</v>
      </c>
    </row>
    <row r="56" spans="1:7" x14ac:dyDescent="0.2">
      <c r="A56" s="12">
        <f>COUNTIF(E$2:E56,E56)</f>
        <v>3</v>
      </c>
      <c r="B56" s="12">
        <v>1</v>
      </c>
      <c r="C56" s="12" t="str">
        <f t="shared" si="1"/>
        <v>David Burnheim3</v>
      </c>
      <c r="D56" s="12">
        <v>10</v>
      </c>
      <c r="E56" t="str">
        <f>+'Stage Entry'!M13</f>
        <v>David Burnheim</v>
      </c>
      <c r="F56" s="119">
        <f>+'Stage Entry'!N13</f>
        <v>1.2858796296296297E-2</v>
      </c>
      <c r="G56" s="13">
        <f>'Stage Entry'!$N$11</f>
        <v>3.7</v>
      </c>
    </row>
    <row r="57" spans="1:7" x14ac:dyDescent="0.2">
      <c r="A57" s="12">
        <f>COUNTIF(E$2:E57,E57)</f>
        <v>3</v>
      </c>
      <c r="B57" s="12">
        <v>2</v>
      </c>
      <c r="C57" s="12" t="str">
        <f t="shared" si="1"/>
        <v>Simon Walker3</v>
      </c>
      <c r="D57" s="12">
        <v>10</v>
      </c>
      <c r="E57" t="str">
        <f>+'Stage Entry'!M14</f>
        <v>Simon Walker</v>
      </c>
      <c r="F57" s="119">
        <f>+'Stage Entry'!N14</f>
        <v>1.2002314814814815E-2</v>
      </c>
      <c r="G57" s="13">
        <f>'Stage Entry'!$N$11</f>
        <v>3.7</v>
      </c>
    </row>
    <row r="58" spans="1:7" x14ac:dyDescent="0.2">
      <c r="A58" s="12">
        <f>COUNTIF(E$2:E58,E58)</f>
        <v>3</v>
      </c>
      <c r="B58" s="12">
        <v>3</v>
      </c>
      <c r="C58" s="12" t="str">
        <f t="shared" ref="C58:C97" si="9">E58&amp;A58</f>
        <v>Nick Tobin3</v>
      </c>
      <c r="D58" s="12">
        <v>10</v>
      </c>
      <c r="E58" t="str">
        <f>+'Stage Entry'!M15</f>
        <v>Nick Tobin</v>
      </c>
      <c r="F58" s="119">
        <f>+'Stage Entry'!N15</f>
        <v>1.2592592592592593E-2</v>
      </c>
      <c r="G58" s="13">
        <f>'Stage Entry'!$N$11</f>
        <v>3.7</v>
      </c>
    </row>
    <row r="59" spans="1:7" x14ac:dyDescent="0.2">
      <c r="A59" s="12">
        <f>COUNTIF(E$2:E59,E59)</f>
        <v>3</v>
      </c>
      <c r="B59" s="12">
        <v>4</v>
      </c>
      <c r="C59" s="12" t="str">
        <f t="shared" si="9"/>
        <v>David Hartley3</v>
      </c>
      <c r="D59" s="12">
        <v>10</v>
      </c>
      <c r="E59" t="str">
        <f>+'Stage Entry'!M16</f>
        <v>David Hartley</v>
      </c>
      <c r="F59" s="119">
        <f>+'Stage Entry'!N16</f>
        <v>1.1111111111111112E-2</v>
      </c>
      <c r="G59" s="13">
        <f>'Stage Entry'!$N$11</f>
        <v>3.7</v>
      </c>
    </row>
    <row r="60" spans="1:7" x14ac:dyDescent="0.2">
      <c r="A60" s="12">
        <f>COUNTIF(E$2:E60,E60)</f>
        <v>3</v>
      </c>
      <c r="B60" s="12">
        <v>5</v>
      </c>
      <c r="C60" s="12" t="str">
        <f t="shared" si="9"/>
        <v>Chris Osborne3</v>
      </c>
      <c r="D60" s="12">
        <v>10</v>
      </c>
      <c r="E60" t="str">
        <f>+'Stage Entry'!M17</f>
        <v>Chris Osborne</v>
      </c>
      <c r="F60" s="119">
        <f>+'Stage Entry'!N17</f>
        <v>1.113425925925926E-2</v>
      </c>
      <c r="G60" s="13">
        <f>'Stage Entry'!$N$11</f>
        <v>3.7</v>
      </c>
    </row>
    <row r="61" spans="1:7" x14ac:dyDescent="0.2">
      <c r="A61" s="12">
        <f>COUNTIF(E$2:E61,E61)</f>
        <v>3</v>
      </c>
      <c r="B61" s="12">
        <v>6</v>
      </c>
      <c r="C61" s="12" t="str">
        <f t="shared" si="9"/>
        <v>Kirsten Jackson3</v>
      </c>
      <c r="D61" s="12">
        <v>10</v>
      </c>
      <c r="E61" t="str">
        <f>+'Stage Entry'!M18</f>
        <v>Kirsten Jackson</v>
      </c>
      <c r="F61" s="119">
        <f>+'Stage Entry'!N18</f>
        <v>1.1782407407407406E-2</v>
      </c>
      <c r="G61" s="13">
        <f>'Stage Entry'!$N$11</f>
        <v>3.7</v>
      </c>
    </row>
    <row r="62" spans="1:7" x14ac:dyDescent="0.2">
      <c r="A62" s="12">
        <f>COUNTIF(E$2:E62,E62)</f>
        <v>3</v>
      </c>
      <c r="B62" s="12">
        <v>1</v>
      </c>
      <c r="C62" s="12" t="str">
        <f t="shared" si="9"/>
        <v>Simon Bevege3</v>
      </c>
      <c r="D62" s="12">
        <v>11</v>
      </c>
      <c r="E62" t="str">
        <f>+'Stage Entry'!R13</f>
        <v>Simon Bevege</v>
      </c>
      <c r="F62" s="119">
        <f>+'Stage Entry'!S13</f>
        <v>1.3564814814814816E-2</v>
      </c>
      <c r="G62" s="13">
        <f t="shared" ref="G62:G67" si="10">+Dist9</f>
        <v>5.3</v>
      </c>
    </row>
    <row r="63" spans="1:7" x14ac:dyDescent="0.2">
      <c r="A63" s="12">
        <f>COUNTIF(E$2:E63,E63)</f>
        <v>3</v>
      </c>
      <c r="B63" s="12">
        <v>2</v>
      </c>
      <c r="C63" s="12" t="str">
        <f t="shared" si="9"/>
        <v>Mark Stodden3</v>
      </c>
      <c r="D63" s="12">
        <v>11</v>
      </c>
      <c r="E63" t="str">
        <f>+'Stage Entry'!R14</f>
        <v>Mark Stodden</v>
      </c>
      <c r="F63" s="119">
        <f>+'Stage Entry'!S14</f>
        <v>1.7210648148148149E-2</v>
      </c>
      <c r="G63" s="13">
        <f t="shared" si="10"/>
        <v>5.3</v>
      </c>
    </row>
    <row r="64" spans="1:7" x14ac:dyDescent="0.2">
      <c r="A64" s="12">
        <f>COUNTIF(E$2:E64,E64)</f>
        <v>3</v>
      </c>
      <c r="B64" s="12">
        <v>3</v>
      </c>
      <c r="C64" s="12" t="str">
        <f t="shared" si="9"/>
        <v>Richard Does3</v>
      </c>
      <c r="D64" s="12">
        <v>11</v>
      </c>
      <c r="E64" t="str">
        <f>+'Stage Entry'!R15</f>
        <v>Richard Does</v>
      </c>
      <c r="F64" s="119">
        <f>+'Stage Entry'!S15</f>
        <v>1.383101851851852E-2</v>
      </c>
      <c r="G64" s="13">
        <f t="shared" si="10"/>
        <v>5.3</v>
      </c>
    </row>
    <row r="65" spans="1:7" x14ac:dyDescent="0.2">
      <c r="A65" s="12">
        <f>COUNTIF(E$2:E65,E65)</f>
        <v>3</v>
      </c>
      <c r="B65" s="12">
        <v>4</v>
      </c>
      <c r="C65" s="12" t="str">
        <f t="shared" si="9"/>
        <v>Chris Wright3</v>
      </c>
      <c r="D65" s="12">
        <v>11</v>
      </c>
      <c r="E65" t="str">
        <f>+'Stage Entry'!R16</f>
        <v>Chris Wright</v>
      </c>
      <c r="F65" s="119">
        <f>+'Stage Entry'!S16</f>
        <v>1.4351851851851852E-2</v>
      </c>
      <c r="G65" s="13">
        <f t="shared" si="10"/>
        <v>5.3</v>
      </c>
    </row>
    <row r="66" spans="1:7" x14ac:dyDescent="0.2">
      <c r="A66" s="12">
        <f>COUNTIF(E$2:E66,E66)</f>
        <v>3</v>
      </c>
      <c r="B66" s="12">
        <v>5</v>
      </c>
      <c r="C66" s="12" t="str">
        <f t="shared" si="9"/>
        <v>David Alcock3</v>
      </c>
      <c r="D66" s="12">
        <v>11</v>
      </c>
      <c r="E66" t="str">
        <f>+'Stage Entry'!R17</f>
        <v>David Alcock</v>
      </c>
      <c r="F66" s="119">
        <f>+'Stage Entry'!S17</f>
        <v>1.7210648148148149E-2</v>
      </c>
      <c r="G66" s="13">
        <f t="shared" si="10"/>
        <v>5.3</v>
      </c>
    </row>
    <row r="67" spans="1:7" x14ac:dyDescent="0.2">
      <c r="A67" s="12">
        <f>COUNTIF(E$2:E67,E67)</f>
        <v>3</v>
      </c>
      <c r="B67" s="12">
        <v>6</v>
      </c>
      <c r="C67" s="12" t="str">
        <f t="shared" si="9"/>
        <v>Rob Dalton3</v>
      </c>
      <c r="D67" s="12">
        <v>11</v>
      </c>
      <c r="E67" t="str">
        <f>+'Stage Entry'!R18</f>
        <v>Rob Dalton</v>
      </c>
      <c r="F67" s="119">
        <f>+'Stage Entry'!S18</f>
        <v>1.5821759259259261E-2</v>
      </c>
      <c r="G67" s="13">
        <f t="shared" si="10"/>
        <v>5.3</v>
      </c>
    </row>
    <row r="68" spans="1:7" x14ac:dyDescent="0.2">
      <c r="A68" s="12">
        <f>COUNTIF(E$2:E68,E68)</f>
        <v>3</v>
      </c>
      <c r="B68" s="12">
        <v>1</v>
      </c>
      <c r="C68" s="12" t="str">
        <f t="shared" si="9"/>
        <v>Thai Phan3</v>
      </c>
      <c r="D68" s="12">
        <v>12</v>
      </c>
      <c r="E68" t="str">
        <f>+'Stage Entry'!W13</f>
        <v>Thai Phan</v>
      </c>
      <c r="F68" s="119">
        <f>+'Stage Entry'!X13</f>
        <v>1.2893518518518519E-2</v>
      </c>
      <c r="G68" s="13">
        <f t="shared" ref="G68:G73" si="11">+Dist10</f>
        <v>4.5</v>
      </c>
    </row>
    <row r="69" spans="1:7" x14ac:dyDescent="0.2">
      <c r="A69" s="12">
        <f>COUNTIF(E$2:E69,E69)</f>
        <v>3</v>
      </c>
      <c r="B69" s="12">
        <v>2</v>
      </c>
      <c r="C69" s="12" t="str">
        <f t="shared" si="9"/>
        <v>Glenn Goodman3</v>
      </c>
      <c r="D69" s="12">
        <v>12</v>
      </c>
      <c r="E69" t="str">
        <f>+'Stage Entry'!W14</f>
        <v>Glenn Goodman</v>
      </c>
      <c r="F69" s="119">
        <f>+'Stage Entry'!X14</f>
        <v>1.230324074074074E-2</v>
      </c>
      <c r="G69" s="13">
        <f t="shared" si="11"/>
        <v>4.5</v>
      </c>
    </row>
    <row r="70" spans="1:7" x14ac:dyDescent="0.2">
      <c r="A70" s="12">
        <f>COUNTIF(E$2:E70,E70)</f>
        <v>3</v>
      </c>
      <c r="B70" s="12">
        <v>3</v>
      </c>
      <c r="C70" s="12" t="str">
        <f t="shared" si="9"/>
        <v>Ewen Vowels3</v>
      </c>
      <c r="D70" s="12">
        <v>12</v>
      </c>
      <c r="E70" t="str">
        <f>+'Stage Entry'!W15</f>
        <v>Ewen Vowels</v>
      </c>
      <c r="F70" s="119">
        <f>+'Stage Entry'!X15</f>
        <v>1.3784722222222224E-2</v>
      </c>
      <c r="G70" s="13">
        <f t="shared" si="11"/>
        <v>4.5</v>
      </c>
    </row>
    <row r="71" spans="1:7" x14ac:dyDescent="0.2">
      <c r="A71" s="12">
        <f>COUNTIF(E$2:E71,E71)</f>
        <v>4</v>
      </c>
      <c r="B71" s="12">
        <v>4</v>
      </c>
      <c r="C71" s="12" t="str">
        <f t="shared" si="9"/>
        <v>Anthony Mithen4</v>
      </c>
      <c r="D71" s="12">
        <v>12</v>
      </c>
      <c r="E71" t="str">
        <f>+'Stage Entry'!W16</f>
        <v>Anthony Mithen</v>
      </c>
      <c r="F71" s="119">
        <f>+'Stage Entry'!X16</f>
        <v>1.1851851851851851E-2</v>
      </c>
      <c r="G71" s="13">
        <f t="shared" si="11"/>
        <v>4.5</v>
      </c>
    </row>
    <row r="72" spans="1:7" x14ac:dyDescent="0.2">
      <c r="A72" s="12">
        <f>COUNTIF(E$2:E72,E72)</f>
        <v>3</v>
      </c>
      <c r="B72" s="12">
        <v>5</v>
      </c>
      <c r="C72" s="12" t="str">
        <f t="shared" si="9"/>
        <v>Martin Duchovny3</v>
      </c>
      <c r="D72" s="12">
        <v>12</v>
      </c>
      <c r="E72" t="str">
        <f>+'Stage Entry'!W17</f>
        <v>Martin Duchovny</v>
      </c>
      <c r="F72" s="119">
        <f>+'Stage Entry'!X17</f>
        <v>1.2731481481481481E-2</v>
      </c>
      <c r="G72" s="13">
        <f t="shared" si="11"/>
        <v>4.5</v>
      </c>
    </row>
    <row r="73" spans="1:7" x14ac:dyDescent="0.2">
      <c r="A73" s="12">
        <f>COUNTIF(E$2:E73,E73)</f>
        <v>3</v>
      </c>
      <c r="B73" s="12">
        <v>6</v>
      </c>
      <c r="C73" s="12" t="str">
        <f t="shared" si="9"/>
        <v>Nick Turner3</v>
      </c>
      <c r="D73" s="12">
        <v>12</v>
      </c>
      <c r="E73" t="str">
        <f>+'Stage Entry'!W18</f>
        <v>Nick Turner</v>
      </c>
      <c r="F73" s="119">
        <f>+'Stage Entry'!X18</f>
        <v>1.1759259259259259E-2</v>
      </c>
      <c r="G73" s="13">
        <f t="shared" si="11"/>
        <v>4.5</v>
      </c>
    </row>
    <row r="74" spans="1:7" x14ac:dyDescent="0.2">
      <c r="A74" s="12">
        <f>COUNTIF(E$2:E74,E74)</f>
        <v>4</v>
      </c>
      <c r="B74" s="12">
        <v>1</v>
      </c>
      <c r="C74" s="12" t="str">
        <f t="shared" si="9"/>
        <v>Simon Bevege4</v>
      </c>
      <c r="D74" s="12">
        <v>13</v>
      </c>
      <c r="E74" t="str">
        <f>+'Stage Entry'!AB13</f>
        <v>Simon Bevege</v>
      </c>
      <c r="F74" s="119">
        <f>+'Stage Entry'!AC13</f>
        <v>1.2048611111111112E-2</v>
      </c>
      <c r="G74" s="13">
        <f t="shared" ref="G74:G79" si="12">+Dist11</f>
        <v>4.5</v>
      </c>
    </row>
    <row r="75" spans="1:7" x14ac:dyDescent="0.2">
      <c r="A75" s="12">
        <f>COUNTIF(E$2:E75,E75)</f>
        <v>4</v>
      </c>
      <c r="B75" s="12">
        <v>2</v>
      </c>
      <c r="C75" s="12" t="str">
        <f t="shared" si="9"/>
        <v>Shane Kent4</v>
      </c>
      <c r="D75" s="12">
        <v>13</v>
      </c>
      <c r="E75" t="str">
        <f>+'Stage Entry'!AB14</f>
        <v>Shane Kent</v>
      </c>
      <c r="F75" s="119">
        <f>+'Stage Entry'!AC14</f>
        <v>1.2777777777777777E-2</v>
      </c>
      <c r="G75" s="13">
        <f t="shared" si="12"/>
        <v>4.5</v>
      </c>
    </row>
    <row r="76" spans="1:7" x14ac:dyDescent="0.2">
      <c r="A76" s="12">
        <f>COUNTIF(E$2:E76,E76)</f>
        <v>4</v>
      </c>
      <c r="B76" s="12">
        <v>3</v>
      </c>
      <c r="C76" s="12" t="str">
        <f t="shared" si="9"/>
        <v>Richard Does4</v>
      </c>
      <c r="D76" s="12">
        <v>13</v>
      </c>
      <c r="E76" t="str">
        <f>+'Stage Entry'!AB15</f>
        <v>Richard Does</v>
      </c>
      <c r="F76" s="119">
        <f>+'Stage Entry'!AC15</f>
        <v>1.1944444444444445E-2</v>
      </c>
      <c r="G76" s="13">
        <f t="shared" si="12"/>
        <v>4.5</v>
      </c>
    </row>
    <row r="77" spans="1:7" x14ac:dyDescent="0.2">
      <c r="A77" s="12">
        <f>COUNTIF(E$2:E77,E77)</f>
        <v>4</v>
      </c>
      <c r="B77" s="12">
        <v>4</v>
      </c>
      <c r="C77" s="12" t="str">
        <f t="shared" si="9"/>
        <v>David Hartley4</v>
      </c>
      <c r="D77" s="12">
        <v>13</v>
      </c>
      <c r="E77" t="str">
        <f>+'Stage Entry'!AB16</f>
        <v>David Hartley</v>
      </c>
      <c r="F77" s="119">
        <f>+'Stage Entry'!AC16</f>
        <v>1.3171296296296294E-2</v>
      </c>
      <c r="G77" s="13">
        <f t="shared" si="12"/>
        <v>4.5</v>
      </c>
    </row>
    <row r="78" spans="1:7" x14ac:dyDescent="0.2">
      <c r="A78" s="12">
        <f>COUNTIF(E$2:E78,E78)</f>
        <v>4</v>
      </c>
      <c r="B78" s="12">
        <v>5</v>
      </c>
      <c r="C78" s="12" t="str">
        <f t="shared" si="9"/>
        <v>Glenn Carroll4</v>
      </c>
      <c r="D78" s="12">
        <v>13</v>
      </c>
      <c r="E78" t="str">
        <f>+'Stage Entry'!AB17</f>
        <v>Glenn Carroll</v>
      </c>
      <c r="F78" s="119">
        <f>+'Stage Entry'!AC17</f>
        <v>1.292824074074074E-2</v>
      </c>
      <c r="G78" s="13">
        <f t="shared" si="12"/>
        <v>4.5</v>
      </c>
    </row>
    <row r="79" spans="1:7" x14ac:dyDescent="0.2">
      <c r="A79" s="12">
        <f>COUNTIF(E$2:E79,E79)</f>
        <v>4</v>
      </c>
      <c r="B79" s="12">
        <v>6</v>
      </c>
      <c r="C79" s="12" t="str">
        <f t="shared" si="9"/>
        <v>Rob Dalton4</v>
      </c>
      <c r="D79" s="12">
        <v>13</v>
      </c>
      <c r="E79" t="str">
        <f>+'Stage Entry'!AB18</f>
        <v>Rob Dalton</v>
      </c>
      <c r="F79" s="119">
        <f>+'Stage Entry'!AC18</f>
        <v>1.3564814814814816E-2</v>
      </c>
      <c r="G79" s="13">
        <f t="shared" si="12"/>
        <v>4.5</v>
      </c>
    </row>
    <row r="80" spans="1:7" x14ac:dyDescent="0.2">
      <c r="A80" s="12">
        <f>COUNTIF(E$2:E80,E80)</f>
        <v>4</v>
      </c>
      <c r="B80" s="12">
        <v>1</v>
      </c>
      <c r="C80" s="12" t="str">
        <f t="shared" si="9"/>
        <v>Norval Hope4</v>
      </c>
      <c r="D80" s="12">
        <v>14</v>
      </c>
      <c r="E80" t="str">
        <f>+'Stage Entry'!AG13</f>
        <v>Norval Hope</v>
      </c>
      <c r="F80" s="119">
        <f>+'Stage Entry'!AH13</f>
        <v>1.1597222222222222E-2</v>
      </c>
      <c r="G80" s="13">
        <f t="shared" ref="G80:G85" si="13">+Dist12</f>
        <v>4.21</v>
      </c>
    </row>
    <row r="81" spans="1:7" x14ac:dyDescent="0.2">
      <c r="A81" s="12">
        <f>COUNTIF(E$2:E81,E81)</f>
        <v>4</v>
      </c>
      <c r="B81" s="12">
        <v>2</v>
      </c>
      <c r="C81" s="12" t="str">
        <f t="shared" si="9"/>
        <v>Glenn Goodman4</v>
      </c>
      <c r="D81" s="12">
        <v>14</v>
      </c>
      <c r="E81" t="str">
        <f>+'Stage Entry'!AG14</f>
        <v>Glenn Goodman</v>
      </c>
      <c r="F81" s="119">
        <f>+'Stage Entry'!AH14</f>
        <v>1.1064814814814814E-2</v>
      </c>
      <c r="G81" s="13">
        <f t="shared" si="13"/>
        <v>4.21</v>
      </c>
    </row>
    <row r="82" spans="1:7" x14ac:dyDescent="0.2">
      <c r="A82" s="12">
        <f>COUNTIF(E$2:E82,E82)</f>
        <v>4</v>
      </c>
      <c r="B82" s="12">
        <v>3</v>
      </c>
      <c r="C82" s="12" t="str">
        <f t="shared" si="9"/>
        <v>Ian Dent4</v>
      </c>
      <c r="D82" s="12">
        <v>14</v>
      </c>
      <c r="E82" t="str">
        <f>+'Stage Entry'!AG15</f>
        <v>Ian Dent</v>
      </c>
      <c r="F82" s="119">
        <f>+'Stage Entry'!AH15</f>
        <v>1.1597222222222222E-2</v>
      </c>
      <c r="G82" s="13">
        <f t="shared" si="13"/>
        <v>4.21</v>
      </c>
    </row>
    <row r="83" spans="1:7" x14ac:dyDescent="0.2">
      <c r="A83" s="12">
        <f>COUNTIF(E$2:E83,E83)</f>
        <v>3</v>
      </c>
      <c r="B83" s="12">
        <v>4</v>
      </c>
      <c r="C83" s="12" t="str">
        <f t="shared" si="9"/>
        <v>John Dixon3</v>
      </c>
      <c r="D83" s="12">
        <v>14</v>
      </c>
      <c r="E83" t="str">
        <f>+'Stage Entry'!AG16</f>
        <v>John Dixon</v>
      </c>
      <c r="F83" s="119">
        <f>+'Stage Entry'!AH16</f>
        <v>1.1898148148148149E-2</v>
      </c>
      <c r="G83" s="13">
        <f t="shared" si="13"/>
        <v>4.21</v>
      </c>
    </row>
    <row r="84" spans="1:7" x14ac:dyDescent="0.2">
      <c r="A84" s="12">
        <f>COUNTIF(E$2:E84,E84)</f>
        <v>4</v>
      </c>
      <c r="B84" s="12">
        <v>5</v>
      </c>
      <c r="C84" s="12" t="str">
        <f t="shared" si="9"/>
        <v>Chris Osborne4</v>
      </c>
      <c r="D84" s="12">
        <v>14</v>
      </c>
      <c r="E84" t="str">
        <f>+'Stage Entry'!AG17</f>
        <v>Chris Osborne</v>
      </c>
      <c r="F84" s="119">
        <f>+'Stage Entry'!AH17</f>
        <v>1.1863425925925925E-2</v>
      </c>
      <c r="G84" s="13">
        <f t="shared" si="13"/>
        <v>4.21</v>
      </c>
    </row>
    <row r="85" spans="1:7" x14ac:dyDescent="0.2">
      <c r="A85" s="12">
        <f>COUNTIF(E$2:E85,E85)</f>
        <v>4</v>
      </c>
      <c r="B85" s="12">
        <v>6</v>
      </c>
      <c r="C85" s="12" t="str">
        <f t="shared" si="9"/>
        <v>Kirsten Jackson4</v>
      </c>
      <c r="D85" s="12">
        <v>14</v>
      </c>
      <c r="E85" t="str">
        <f>+'Stage Entry'!AG18</f>
        <v>Kirsten Jackson</v>
      </c>
      <c r="F85" s="119">
        <f>+'Stage Entry'!AH18</f>
        <v>1.2037037037037035E-2</v>
      </c>
      <c r="G85" s="13">
        <f t="shared" si="13"/>
        <v>4.21</v>
      </c>
    </row>
    <row r="86" spans="1:7" x14ac:dyDescent="0.2">
      <c r="A86" s="12">
        <f>COUNTIF(E$2:E86,E86)</f>
        <v>4</v>
      </c>
      <c r="B86" s="12">
        <v>1</v>
      </c>
      <c r="C86" s="12" t="str">
        <f t="shared" si="9"/>
        <v>Thai Phan4</v>
      </c>
      <c r="D86" s="12">
        <v>15</v>
      </c>
      <c r="E86" t="str">
        <f>+'Stage Entry'!AL13</f>
        <v>Thai Phan</v>
      </c>
      <c r="F86" s="119">
        <f>+'Stage Entry'!AM13</f>
        <v>1.1377314814814814E-2</v>
      </c>
      <c r="G86" s="13">
        <f t="shared" ref="G86:G91" si="14">+Dist13</f>
        <v>4.49</v>
      </c>
    </row>
    <row r="87" spans="1:7" x14ac:dyDescent="0.2">
      <c r="A87" s="12">
        <f>COUNTIF(E$2:E87,E87)</f>
        <v>4</v>
      </c>
      <c r="B87" s="12">
        <v>2</v>
      </c>
      <c r="C87" s="12" t="str">
        <f t="shared" si="9"/>
        <v>Mark Stodden4</v>
      </c>
      <c r="D87" s="12">
        <v>15</v>
      </c>
      <c r="E87" t="str">
        <f>+'Stage Entry'!AL14</f>
        <v>Mark Stodden</v>
      </c>
      <c r="F87" s="119">
        <f>+'Stage Entry'!AM14</f>
        <v>1.1215277777777777E-2</v>
      </c>
      <c r="G87" s="13">
        <f t="shared" si="14"/>
        <v>4.49</v>
      </c>
    </row>
    <row r="88" spans="1:7" x14ac:dyDescent="0.2">
      <c r="A88" s="12">
        <f>COUNTIF(E$2:E88,E88)</f>
        <v>4</v>
      </c>
      <c r="B88" s="12">
        <v>3</v>
      </c>
      <c r="C88" s="12" t="str">
        <f t="shared" si="9"/>
        <v>Ewen Vowels4</v>
      </c>
      <c r="D88" s="12">
        <v>15</v>
      </c>
      <c r="E88" t="str">
        <f>+'Stage Entry'!AL15</f>
        <v>Ewen Vowels</v>
      </c>
      <c r="F88" s="119">
        <f>+'Stage Entry'!AM15</f>
        <v>1.1249999999999998E-2</v>
      </c>
      <c r="G88" s="13">
        <f t="shared" si="14"/>
        <v>4.49</v>
      </c>
    </row>
    <row r="89" spans="1:7" x14ac:dyDescent="0.2">
      <c r="A89" s="12">
        <f>COUNTIF(E$2:E89,E89)</f>
        <v>4</v>
      </c>
      <c r="B89" s="12">
        <v>4</v>
      </c>
      <c r="C89" s="12" t="str">
        <f t="shared" si="9"/>
        <v>Chris Wright4</v>
      </c>
      <c r="D89" s="12">
        <v>15</v>
      </c>
      <c r="E89" t="str">
        <f>+'Stage Entry'!AL16</f>
        <v>Chris Wright</v>
      </c>
      <c r="F89" s="119">
        <f>+'Stage Entry'!AM16</f>
        <v>1.1342592592592592E-2</v>
      </c>
      <c r="G89" s="13">
        <f t="shared" si="14"/>
        <v>4.49</v>
      </c>
    </row>
    <row r="90" spans="1:7" x14ac:dyDescent="0.2">
      <c r="A90" s="12">
        <f>COUNTIF(E$2:E90,E90)</f>
        <v>4</v>
      </c>
      <c r="B90" s="12">
        <v>5</v>
      </c>
      <c r="C90" s="12" t="str">
        <f t="shared" si="9"/>
        <v>David Alcock4</v>
      </c>
      <c r="D90" s="12">
        <v>15</v>
      </c>
      <c r="E90" t="str">
        <f>+'Stage Entry'!AL17</f>
        <v>David Alcock</v>
      </c>
      <c r="F90" s="119">
        <f>+'Stage Entry'!AM17</f>
        <v>1.1631944444444445E-2</v>
      </c>
      <c r="G90" s="13">
        <f t="shared" si="14"/>
        <v>4.49</v>
      </c>
    </row>
    <row r="91" spans="1:7" x14ac:dyDescent="0.2">
      <c r="A91" s="12">
        <f>COUNTIF(E$2:E91,E91)</f>
        <v>4</v>
      </c>
      <c r="B91" s="12">
        <v>6</v>
      </c>
      <c r="C91" s="12" t="str">
        <f t="shared" si="9"/>
        <v>Nick Turner4</v>
      </c>
      <c r="D91" s="12">
        <v>15</v>
      </c>
      <c r="E91" t="str">
        <f>+'Stage Entry'!AL18</f>
        <v>Nick Turner</v>
      </c>
      <c r="F91" s="119">
        <f>+'Stage Entry'!AM18</f>
        <v>1.0810185185185185E-2</v>
      </c>
      <c r="G91" s="13">
        <f t="shared" si="14"/>
        <v>4.49</v>
      </c>
    </row>
    <row r="92" spans="1:7" x14ac:dyDescent="0.2">
      <c r="A92" s="12">
        <f>COUNTIF(E$2:E92,E92)</f>
        <v>4</v>
      </c>
      <c r="B92" s="12">
        <v>1</v>
      </c>
      <c r="C92" s="12" t="str">
        <f t="shared" si="9"/>
        <v>David Burnheim4</v>
      </c>
      <c r="D92" s="12">
        <v>16</v>
      </c>
      <c r="E92" t="str">
        <f>+'Stage Entry'!AQ13</f>
        <v>David Burnheim</v>
      </c>
      <c r="F92" s="119">
        <f>+'Stage Entry'!AR13</f>
        <v>1.3969907407407408E-2</v>
      </c>
      <c r="G92" s="13">
        <f t="shared" ref="G92:G97" si="15">+Dist14</f>
        <v>3.66</v>
      </c>
    </row>
    <row r="93" spans="1:7" x14ac:dyDescent="0.2">
      <c r="A93" s="12">
        <f>COUNTIF(E$2:E93,E93)</f>
        <v>4</v>
      </c>
      <c r="B93" s="12">
        <v>2</v>
      </c>
      <c r="C93" s="12" t="str">
        <f t="shared" si="9"/>
        <v>Simon Walker4</v>
      </c>
      <c r="D93" s="12">
        <v>16</v>
      </c>
      <c r="E93" t="str">
        <f>+'Stage Entry'!AQ14</f>
        <v>Simon Walker</v>
      </c>
      <c r="F93" s="119">
        <f>+'Stage Entry'!AR14</f>
        <v>1.091435185185185E-2</v>
      </c>
      <c r="G93" s="13">
        <f t="shared" si="15"/>
        <v>3.66</v>
      </c>
    </row>
    <row r="94" spans="1:7" x14ac:dyDescent="0.2">
      <c r="A94" s="12">
        <f>COUNTIF(E$2:E94,E94)</f>
        <v>4</v>
      </c>
      <c r="B94" s="12">
        <v>3</v>
      </c>
      <c r="C94" s="12" t="str">
        <f t="shared" si="9"/>
        <v>Nick Tobin4</v>
      </c>
      <c r="D94" s="12">
        <v>16</v>
      </c>
      <c r="E94" t="str">
        <f>+'Stage Entry'!AQ15</f>
        <v>Nick Tobin</v>
      </c>
      <c r="F94" s="119">
        <f>+'Stage Entry'!AR15</f>
        <v>1.3564814814814816E-2</v>
      </c>
      <c r="G94" s="13">
        <f t="shared" si="15"/>
        <v>3.66</v>
      </c>
    </row>
    <row r="95" spans="1:7" x14ac:dyDescent="0.2">
      <c r="A95" s="12">
        <f>COUNTIF(E$2:E95,E95)</f>
        <v>4</v>
      </c>
      <c r="B95" s="12">
        <v>4</v>
      </c>
      <c r="C95" s="12" t="str">
        <f t="shared" si="9"/>
        <v>John Dixon4</v>
      </c>
      <c r="D95" s="12">
        <v>16</v>
      </c>
      <c r="E95" t="str">
        <f>+'Stage Entry'!AQ16</f>
        <v>John Dixon</v>
      </c>
      <c r="F95" s="119">
        <f>+'Stage Entry'!AR16</f>
        <v>1.0694444444444444E-2</v>
      </c>
      <c r="G95" s="13">
        <f t="shared" si="15"/>
        <v>3.66</v>
      </c>
    </row>
    <row r="96" spans="1:7" x14ac:dyDescent="0.2">
      <c r="A96" s="12">
        <f>COUNTIF(E$2:E96,E96)</f>
        <v>4</v>
      </c>
      <c r="B96" s="12">
        <v>5</v>
      </c>
      <c r="C96" s="12" t="str">
        <f t="shared" si="9"/>
        <v>Martin Duchovny4</v>
      </c>
      <c r="D96" s="12">
        <v>16</v>
      </c>
      <c r="E96" t="str">
        <f>+'Stage Entry'!AQ17</f>
        <v>Martin Duchovny</v>
      </c>
      <c r="F96" s="119">
        <f>+'Stage Entry'!AR17</f>
        <v>1.0601851851851854E-2</v>
      </c>
      <c r="G96" s="13">
        <f t="shared" si="15"/>
        <v>3.66</v>
      </c>
    </row>
    <row r="97" spans="1:7" x14ac:dyDescent="0.2">
      <c r="A97" s="12">
        <f>COUNTIF(E$2:E97,E97)</f>
        <v>4</v>
      </c>
      <c r="B97" s="12">
        <v>6</v>
      </c>
      <c r="C97" s="12" t="str">
        <f t="shared" si="9"/>
        <v>James Chiriano4</v>
      </c>
      <c r="D97" s="12">
        <v>16</v>
      </c>
      <c r="E97" t="str">
        <f>+'Stage Entry'!AQ18</f>
        <v>James Chiriano</v>
      </c>
      <c r="F97" s="119">
        <f>+'Stage Entry'!AR18</f>
        <v>1.1284722222222222E-2</v>
      </c>
      <c r="G97" s="13">
        <f t="shared" si="15"/>
        <v>3.66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7" baseType="lpstr">
      <vt:lpstr>Team Selection</vt:lpstr>
      <vt:lpstr>Stage Entry</vt:lpstr>
      <vt:lpstr>Teams by Stage</vt:lpstr>
      <vt:lpstr>Runner Performance</vt:lpstr>
      <vt:lpstr>Data</vt:lpstr>
      <vt:lpstr>Stage-by-Stage</vt:lpstr>
      <vt:lpstr>Dist1</vt:lpstr>
      <vt:lpstr>Dist10</vt:lpstr>
      <vt:lpstr>Dist11</vt:lpstr>
      <vt:lpstr>Dist12</vt:lpstr>
      <vt:lpstr>Dist13</vt:lpstr>
      <vt:lpstr>Dist14</vt:lpstr>
      <vt:lpstr>Dist2</vt:lpstr>
      <vt:lpstr>Dist3</vt:lpstr>
      <vt:lpstr>Dist4</vt:lpstr>
      <vt:lpstr>Dist5</vt:lpstr>
      <vt:lpstr>Dist6</vt:lpstr>
      <vt:lpstr>Dist7</vt:lpstr>
      <vt:lpstr>Dist8</vt:lpstr>
      <vt:lpstr>Dist9</vt:lpstr>
      <vt:lpstr>'Stage Entry'!Print_Area</vt:lpstr>
      <vt:lpstr>'Team Selection'!Print_Area</vt:lpstr>
      <vt:lpstr>'Stage Entry'!Print_Titles</vt:lpstr>
      <vt:lpstr>Team1</vt:lpstr>
      <vt:lpstr>Team2</vt:lpstr>
      <vt:lpstr>Team3</vt:lpstr>
      <vt:lpstr>Team4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Mathews</dc:creator>
  <cp:lastModifiedBy>Fielding</cp:lastModifiedBy>
  <cp:lastPrinted>2007-11-04T21:20:19Z</cp:lastPrinted>
  <dcterms:created xsi:type="dcterms:W3CDTF">2001-03-07T08:50:40Z</dcterms:created>
  <dcterms:modified xsi:type="dcterms:W3CDTF">2015-03-03T00:32:10Z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