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4335" tabRatio="596"/>
  </bookViews>
  <sheets>
    <sheet name="Team Selection" sheetId="3" r:id="rId1"/>
    <sheet name="Stage Entry" sheetId="2" r:id="rId2"/>
    <sheet name="Teams by Stage" sheetId="7" r:id="rId3"/>
    <sheet name="Stage-by-Stage" sheetId="9" r:id="rId4"/>
    <sheet name="Runner Performance" sheetId="1" r:id="rId5"/>
    <sheet name="Data" sheetId="10" r:id="rId6"/>
  </sheets>
  <definedNames>
    <definedName name="Dist1">'Stage Entry'!$I$2</definedName>
    <definedName name="Dist10">'Stage Entry'!$X$11</definedName>
    <definedName name="Dist11">'Stage Entry'!$AC$11</definedName>
    <definedName name="Dist12">'Stage Entry'!$AH$11</definedName>
    <definedName name="Dist13">'Stage Entry'!$AM$11</definedName>
    <definedName name="Dist14">'Stage Entry'!$AR$11</definedName>
    <definedName name="Dist2">'Stage Entry'!$S$2</definedName>
    <definedName name="Dist3">'Stage Entry'!$X$2</definedName>
    <definedName name="Dist4">'Stage Entry'!$AC$2</definedName>
    <definedName name="Dist5">'Stage Entry'!$AH$2</definedName>
    <definedName name="Dist6">'Stage Entry'!$AM$2</definedName>
    <definedName name="Dist7">'Stage Entry'!$AR$2</definedName>
    <definedName name="Dist8">'Stage Entry'!$I$11</definedName>
    <definedName name="Dist9">'Stage Entry'!$S$11</definedName>
    <definedName name="_xlnm.Print_Area" localSheetId="1">'Stage Entry'!$A$1:$AY$17</definedName>
    <definedName name="_xlnm.Print_Area" localSheetId="0">'Team Selection'!$B$1:$J$8</definedName>
    <definedName name="_xlnm.Print_Titles" localSheetId="1">'Stage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calcId="125725" fullCalcOnLoad="1"/>
</workbook>
</file>

<file path=xl/calcChain.xml><?xml version="1.0" encoding="utf-8"?>
<calcChain xmlns="http://schemas.openxmlformats.org/spreadsheetml/2006/main">
  <c r="AW13" i="7"/>
  <c r="AW14"/>
  <c r="AW15"/>
  <c r="AW16"/>
  <c r="AW17"/>
  <c r="AW12"/>
  <c r="AT13"/>
  <c r="AT14"/>
  <c r="AT15"/>
  <c r="AT16"/>
  <c r="AT17"/>
  <c r="AT12"/>
  <c r="AQ13"/>
  <c r="AQ14"/>
  <c r="AQ15"/>
  <c r="AQ16"/>
  <c r="AQ17"/>
  <c r="AQ12"/>
  <c r="AN13"/>
  <c r="AN14"/>
  <c r="AN15"/>
  <c r="AN16"/>
  <c r="AN17"/>
  <c r="AN12"/>
  <c r="AK13"/>
  <c r="AK14"/>
  <c r="AK15"/>
  <c r="AK16"/>
  <c r="AK17"/>
  <c r="AK12"/>
  <c r="AH13"/>
  <c r="AH14"/>
  <c r="AH15"/>
  <c r="AH16"/>
  <c r="AH17"/>
  <c r="AH12"/>
  <c r="AE13"/>
  <c r="AE14"/>
  <c r="AE15"/>
  <c r="AE16"/>
  <c r="AE17"/>
  <c r="AE12"/>
  <c r="AB13"/>
  <c r="AB14"/>
  <c r="AB15"/>
  <c r="AB16"/>
  <c r="AB17"/>
  <c r="AB12"/>
  <c r="Y13"/>
  <c r="Y14"/>
  <c r="Y15"/>
  <c r="Y16"/>
  <c r="Y17"/>
  <c r="Y12"/>
  <c r="V13"/>
  <c r="V14"/>
  <c r="V15"/>
  <c r="V16"/>
  <c r="V17"/>
  <c r="V12"/>
  <c r="S13"/>
  <c r="S14"/>
  <c r="S15"/>
  <c r="S16"/>
  <c r="S17"/>
  <c r="S12"/>
  <c r="P13"/>
  <c r="P14"/>
  <c r="P15"/>
  <c r="P16"/>
  <c r="P17"/>
  <c r="P12"/>
  <c r="M13"/>
  <c r="M14"/>
  <c r="M15"/>
  <c r="M16"/>
  <c r="M17"/>
  <c r="M12"/>
  <c r="J13"/>
  <c r="J14"/>
  <c r="J15"/>
  <c r="J16"/>
  <c r="J17"/>
  <c r="J12"/>
  <c r="G13"/>
  <c r="G14"/>
  <c r="G15"/>
  <c r="G16"/>
  <c r="G17"/>
  <c r="G12"/>
  <c r="D13"/>
  <c r="D14"/>
  <c r="D15"/>
  <c r="D16"/>
  <c r="D17"/>
  <c r="D12"/>
  <c r="D3" i="3"/>
  <c r="C7" i="7"/>
  <c r="D7" s="1"/>
  <c r="F7"/>
  <c r="I7"/>
  <c r="L7"/>
  <c r="O7"/>
  <c r="R7"/>
  <c r="U7"/>
  <c r="X7"/>
  <c r="AA7"/>
  <c r="AD7"/>
  <c r="AG7"/>
  <c r="AJ7"/>
  <c r="AM7"/>
  <c r="AP7"/>
  <c r="AS7"/>
  <c r="AV7"/>
  <c r="C8"/>
  <c r="D8" s="1"/>
  <c r="F8"/>
  <c r="I8"/>
  <c r="L8"/>
  <c r="O8"/>
  <c r="R8"/>
  <c r="U8"/>
  <c r="X8"/>
  <c r="AA8"/>
  <c r="AD8"/>
  <c r="AG8"/>
  <c r="AJ8"/>
  <c r="AM8"/>
  <c r="AP8"/>
  <c r="AS8"/>
  <c r="AV8"/>
  <c r="C9"/>
  <c r="D9" s="1"/>
  <c r="F9"/>
  <c r="I9"/>
  <c r="L9"/>
  <c r="O9"/>
  <c r="R9"/>
  <c r="U9"/>
  <c r="AA9"/>
  <c r="AD9"/>
  <c r="AG9"/>
  <c r="AJ9"/>
  <c r="AM9"/>
  <c r="AP9"/>
  <c r="AS9"/>
  <c r="AV9"/>
  <c r="U5"/>
  <c r="AT18" i="2"/>
  <c r="AT17"/>
  <c r="AT16"/>
  <c r="AT15"/>
  <c r="AT14"/>
  <c r="AT13"/>
  <c r="AO18"/>
  <c r="AO17"/>
  <c r="AO16"/>
  <c r="AO15"/>
  <c r="AO14"/>
  <c r="AO13"/>
  <c r="AJ18"/>
  <c r="AJ17"/>
  <c r="AJ16"/>
  <c r="AJ15"/>
  <c r="AJ14"/>
  <c r="AJ13"/>
  <c r="AE18"/>
  <c r="AE17"/>
  <c r="AE16"/>
  <c r="AE15"/>
  <c r="AE14"/>
  <c r="AE13"/>
  <c r="E2" i="10"/>
  <c r="A2" s="1"/>
  <c r="C2" s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A22" s="1"/>
  <c r="C22" s="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F11"/>
  <c r="F35"/>
  <c r="F65"/>
  <c r="F89"/>
  <c r="J8" i="3"/>
  <c r="B35" i="1" s="1"/>
  <c r="F19" i="10"/>
  <c r="F25"/>
  <c r="F43"/>
  <c r="F61"/>
  <c r="F79"/>
  <c r="F97"/>
  <c r="J7" i="3"/>
  <c r="B34" i="1" s="1"/>
  <c r="F18" i="10"/>
  <c r="F24"/>
  <c r="F42"/>
  <c r="F48"/>
  <c r="F60"/>
  <c r="F78"/>
  <c r="F96"/>
  <c r="J6" i="3"/>
  <c r="B33" i="1" s="1"/>
  <c r="F17" i="10"/>
  <c r="F23"/>
  <c r="F41"/>
  <c r="F47"/>
  <c r="F59"/>
  <c r="F95"/>
  <c r="J5" i="3"/>
  <c r="B32" i="1" s="1"/>
  <c r="F16" i="10"/>
  <c r="F15"/>
  <c r="F22"/>
  <c r="F40"/>
  <c r="F39"/>
  <c r="F46"/>
  <c r="F58"/>
  <c r="F57"/>
  <c r="F76"/>
  <c r="F75"/>
  <c r="F94"/>
  <c r="J4" i="3"/>
  <c r="B31" i="1" s="1"/>
  <c r="F21" i="10"/>
  <c r="F45"/>
  <c r="F63"/>
  <c r="F93"/>
  <c r="J3" i="3"/>
  <c r="B30" i="1" s="1"/>
  <c r="F14" i="10"/>
  <c r="F20"/>
  <c r="F38"/>
  <c r="F44"/>
  <c r="F50"/>
  <c r="F56"/>
  <c r="F62"/>
  <c r="F92"/>
  <c r="H8" i="3"/>
  <c r="B26" i="1" s="1"/>
  <c r="F7" i="10"/>
  <c r="F31"/>
  <c r="F55"/>
  <c r="F67"/>
  <c r="F85"/>
  <c r="H7" i="3"/>
  <c r="B25" i="1" s="1"/>
  <c r="F6" i="10"/>
  <c r="F12"/>
  <c r="F30"/>
  <c r="F36"/>
  <c r="F66"/>
  <c r="F90"/>
  <c r="H6" i="3"/>
  <c r="B24" i="1" s="1"/>
  <c r="F5" i="10"/>
  <c r="F29"/>
  <c r="F53"/>
  <c r="F77"/>
  <c r="H5" i="3"/>
  <c r="B23" i="1" s="1"/>
  <c r="F4" i="10"/>
  <c r="F10"/>
  <c r="F28"/>
  <c r="F34"/>
  <c r="F52"/>
  <c r="F70"/>
  <c r="F88"/>
  <c r="H4" i="3"/>
  <c r="B22" i="1" s="1"/>
  <c r="F3" i="10"/>
  <c r="F9"/>
  <c r="F27"/>
  <c r="F33"/>
  <c r="F51"/>
  <c r="F87"/>
  <c r="F81"/>
  <c r="H3" i="3"/>
  <c r="B21" i="1" s="1"/>
  <c r="F2" i="10"/>
  <c r="F26"/>
  <c r="F74"/>
  <c r="F68"/>
  <c r="F86"/>
  <c r="F8" i="3"/>
  <c r="B17" i="1" s="1"/>
  <c r="F13" i="10"/>
  <c r="F37"/>
  <c r="F91"/>
  <c r="F7" i="3"/>
  <c r="B16" i="1" s="1"/>
  <c r="F72" i="10"/>
  <c r="F54"/>
  <c r="F6" i="3"/>
  <c r="B15" i="1" s="1"/>
  <c r="F71" i="10"/>
  <c r="F5" i="3"/>
  <c r="B14" i="1" s="1"/>
  <c r="F64" i="10"/>
  <c r="F4" i="3"/>
  <c r="B13" i="1" s="1"/>
  <c r="F3" i="3"/>
  <c r="B12" i="1" s="1"/>
  <c r="F8" i="10"/>
  <c r="F32"/>
  <c r="F80"/>
  <c r="D8" i="3"/>
  <c r="B8" i="1" s="1"/>
  <c r="F49" i="10"/>
  <c r="F73"/>
  <c r="D7" i="3"/>
  <c r="B7" i="1" s="1"/>
  <c r="F84" i="10"/>
  <c r="D6" i="3"/>
  <c r="B6" i="1" s="1"/>
  <c r="F83" i="10"/>
  <c r="D5" i="3"/>
  <c r="B5" i="1" s="1"/>
  <c r="F82" i="10"/>
  <c r="D4" i="3"/>
  <c r="B4" i="1" s="1"/>
  <c r="F69" i="10"/>
  <c r="B3" i="1"/>
  <c r="G49" i="10"/>
  <c r="X2" i="2"/>
  <c r="G21" i="10" s="1"/>
  <c r="S2" i="2"/>
  <c r="G17" i="10" s="1"/>
  <c r="G61"/>
  <c r="G60"/>
  <c r="G59"/>
  <c r="G58"/>
  <c r="G57"/>
  <c r="G56"/>
  <c r="G43"/>
  <c r="G55"/>
  <c r="G97"/>
  <c r="G42"/>
  <c r="G84"/>
  <c r="G41"/>
  <c r="G53"/>
  <c r="G95"/>
  <c r="G40"/>
  <c r="G76"/>
  <c r="G39"/>
  <c r="G51"/>
  <c r="G75"/>
  <c r="G2"/>
  <c r="G38"/>
  <c r="G68"/>
  <c r="G80"/>
  <c r="G92"/>
  <c r="G79"/>
  <c r="G48"/>
  <c r="G54"/>
  <c r="G78"/>
  <c r="G47"/>
  <c r="G77"/>
  <c r="G46"/>
  <c r="G52"/>
  <c r="G82"/>
  <c r="G45"/>
  <c r="G81"/>
  <c r="G8"/>
  <c r="G44"/>
  <c r="G26"/>
  <c r="G86"/>
  <c r="G13"/>
  <c r="G37"/>
  <c r="G31"/>
  <c r="G67"/>
  <c r="G91"/>
  <c r="G12"/>
  <c r="G36"/>
  <c r="G30"/>
  <c r="G66"/>
  <c r="G96"/>
  <c r="G11"/>
  <c r="G35"/>
  <c r="G29"/>
  <c r="G65"/>
  <c r="G83"/>
  <c r="G10"/>
  <c r="G34"/>
  <c r="G64"/>
  <c r="G94"/>
  <c r="G9"/>
  <c r="G33"/>
  <c r="G27"/>
  <c r="G69"/>
  <c r="G93"/>
  <c r="G32"/>
  <c r="G50"/>
  <c r="G74"/>
  <c r="G7"/>
  <c r="G73"/>
  <c r="G85"/>
  <c r="G6"/>
  <c r="G72"/>
  <c r="G90"/>
  <c r="G5"/>
  <c r="G28"/>
  <c r="G71"/>
  <c r="G89"/>
  <c r="G4"/>
  <c r="G70"/>
  <c r="G88"/>
  <c r="G3"/>
  <c r="G63"/>
  <c r="G87"/>
  <c r="G62"/>
  <c r="H54" i="2"/>
  <c r="H60"/>
  <c r="H66"/>
  <c r="H72"/>
  <c r="H56"/>
  <c r="H62"/>
  <c r="H68"/>
  <c r="H74"/>
  <c r="H52"/>
  <c r="H53"/>
  <c r="H55"/>
  <c r="H57"/>
  <c r="H58"/>
  <c r="H59"/>
  <c r="H61"/>
  <c r="H63"/>
  <c r="H64"/>
  <c r="H65"/>
  <c r="H67"/>
  <c r="H69"/>
  <c r="H70"/>
  <c r="H71"/>
  <c r="H73"/>
  <c r="H75"/>
  <c r="K18"/>
  <c r="K17"/>
  <c r="K16"/>
  <c r="K15"/>
  <c r="K14"/>
  <c r="K13"/>
  <c r="P18"/>
  <c r="P17"/>
  <c r="P16"/>
  <c r="P15"/>
  <c r="P14"/>
  <c r="P13"/>
  <c r="U18"/>
  <c r="U17"/>
  <c r="U16"/>
  <c r="U15"/>
  <c r="U14"/>
  <c r="U13"/>
  <c r="Z18"/>
  <c r="Z17"/>
  <c r="Z16"/>
  <c r="Z15"/>
  <c r="Z14"/>
  <c r="Z13"/>
  <c r="AE9"/>
  <c r="AE8"/>
  <c r="AE7"/>
  <c r="AE6"/>
  <c r="AE5"/>
  <c r="AE4"/>
  <c r="AJ9"/>
  <c r="AJ8"/>
  <c r="AJ7"/>
  <c r="AJ6"/>
  <c r="AJ5"/>
  <c r="AJ4"/>
  <c r="AO9"/>
  <c r="AO8"/>
  <c r="AO7"/>
  <c r="AO6"/>
  <c r="AO5"/>
  <c r="AO4"/>
  <c r="AT9"/>
  <c r="AT8"/>
  <c r="AT7"/>
  <c r="AT6"/>
  <c r="AT5"/>
  <c r="AT4"/>
  <c r="E13"/>
  <c r="E14"/>
  <c r="B5" s="1"/>
  <c r="E15"/>
  <c r="E16"/>
  <c r="E17"/>
  <c r="E18"/>
  <c r="E4"/>
  <c r="E5"/>
  <c r="E6"/>
  <c r="E7"/>
  <c r="E8"/>
  <c r="E9"/>
  <c r="A4"/>
  <c r="A13" s="1"/>
  <c r="A9"/>
  <c r="A18" s="1"/>
  <c r="A8"/>
  <c r="A17" s="1"/>
  <c r="O18"/>
  <c r="O17"/>
  <c r="O16"/>
  <c r="O15"/>
  <c r="O14"/>
  <c r="O13"/>
  <c r="A7"/>
  <c r="A16" s="1"/>
  <c r="A6"/>
  <c r="A15" s="1"/>
  <c r="A5"/>
  <c r="A14" s="1"/>
  <c r="J17"/>
  <c r="T17"/>
  <c r="Y17"/>
  <c r="AD17"/>
  <c r="AI17"/>
  <c r="AN17"/>
  <c r="AS17"/>
  <c r="J18"/>
  <c r="T18"/>
  <c r="Y18"/>
  <c r="AD18"/>
  <c r="AI18"/>
  <c r="AN18"/>
  <c r="AS18"/>
  <c r="J9"/>
  <c r="O9"/>
  <c r="AD9"/>
  <c r="AI9"/>
  <c r="AN9"/>
  <c r="AS9"/>
  <c r="AN13"/>
  <c r="AN15"/>
  <c r="AN14"/>
  <c r="AD13"/>
  <c r="AD4"/>
  <c r="J13"/>
  <c r="O4"/>
  <c r="AS13"/>
  <c r="AS4"/>
  <c r="AN4"/>
  <c r="AD14"/>
  <c r="AD5"/>
  <c r="J14"/>
  <c r="AS14"/>
  <c r="AS5"/>
  <c r="AN5"/>
  <c r="O5"/>
  <c r="AD15"/>
  <c r="AD6"/>
  <c r="J15"/>
  <c r="AS15"/>
  <c r="AS6"/>
  <c r="AN6"/>
  <c r="O6"/>
  <c r="AN16"/>
  <c r="J16"/>
  <c r="AS7"/>
  <c r="AD16"/>
  <c r="AD7"/>
  <c r="AS16"/>
  <c r="AN7"/>
  <c r="O7"/>
  <c r="AS8"/>
  <c r="AD8"/>
  <c r="AN8"/>
  <c r="O8"/>
  <c r="N2"/>
  <c r="AI13"/>
  <c r="AI4"/>
  <c r="J4"/>
  <c r="Y13"/>
  <c r="T16"/>
  <c r="T15"/>
  <c r="T13"/>
  <c r="T14"/>
  <c r="J8"/>
  <c r="AI8"/>
  <c r="J7"/>
  <c r="AI7"/>
  <c r="Y16"/>
  <c r="AI16"/>
  <c r="J6"/>
  <c r="AI6"/>
  <c r="Y15"/>
  <c r="AI15"/>
  <c r="J5"/>
  <c r="AI5"/>
  <c r="Y14"/>
  <c r="AI14"/>
  <c r="E24"/>
  <c r="D24"/>
  <c r="K8" i="3"/>
  <c r="K7"/>
  <c r="K4"/>
  <c r="K5"/>
  <c r="K6"/>
  <c r="K3"/>
  <c r="C4" i="7"/>
  <c r="D4" s="1"/>
  <c r="F4"/>
  <c r="I4"/>
  <c r="L4"/>
  <c r="O4"/>
  <c r="R4"/>
  <c r="U4"/>
  <c r="X4"/>
  <c r="AA4"/>
  <c r="AD4"/>
  <c r="AG4"/>
  <c r="AJ4"/>
  <c r="AM4"/>
  <c r="AP4"/>
  <c r="AS4"/>
  <c r="AV4"/>
  <c r="C5"/>
  <c r="D5" s="1"/>
  <c r="F5"/>
  <c r="I5"/>
  <c r="L5"/>
  <c r="O5"/>
  <c r="R5"/>
  <c r="X5"/>
  <c r="AA5"/>
  <c r="AD5"/>
  <c r="AG5"/>
  <c r="AJ5"/>
  <c r="AM5"/>
  <c r="AP5"/>
  <c r="AS5"/>
  <c r="AV5"/>
  <c r="C6"/>
  <c r="D6" s="1"/>
  <c r="F6"/>
  <c r="I6"/>
  <c r="L6"/>
  <c r="O6"/>
  <c r="R6"/>
  <c r="U6"/>
  <c r="X6"/>
  <c r="AA6"/>
  <c r="AD6"/>
  <c r="AG6"/>
  <c r="AJ6"/>
  <c r="AM6"/>
  <c r="AP6"/>
  <c r="AS6"/>
  <c r="AV6"/>
  <c r="X9"/>
  <c r="A9"/>
  <c r="AY17" s="1"/>
  <c r="AU9"/>
  <c r="AR9"/>
  <c r="AO9"/>
  <c r="AL9"/>
  <c r="AI9"/>
  <c r="AF9"/>
  <c r="AC9"/>
  <c r="Z9"/>
  <c r="W9"/>
  <c r="T9"/>
  <c r="Q9"/>
  <c r="N9"/>
  <c r="K9"/>
  <c r="H9"/>
  <c r="E9"/>
  <c r="B9"/>
  <c r="AU8"/>
  <c r="AR8"/>
  <c r="AO8"/>
  <c r="AL8"/>
  <c r="AI8"/>
  <c r="AF8"/>
  <c r="AC8"/>
  <c r="Z8"/>
  <c r="W8"/>
  <c r="T8"/>
  <c r="Q8"/>
  <c r="N8"/>
  <c r="K8"/>
  <c r="H8"/>
  <c r="E8"/>
  <c r="B8"/>
  <c r="AU7"/>
  <c r="AR7"/>
  <c r="AO7"/>
  <c r="AL7"/>
  <c r="AI7"/>
  <c r="AF7"/>
  <c r="AC7"/>
  <c r="Z7"/>
  <c r="W7"/>
  <c r="T7"/>
  <c r="Q7"/>
  <c r="N7"/>
  <c r="K7"/>
  <c r="H7"/>
  <c r="E7"/>
  <c r="B7"/>
  <c r="AU6"/>
  <c r="AR6"/>
  <c r="AO6"/>
  <c r="AL6"/>
  <c r="AI6"/>
  <c r="AF6"/>
  <c r="AC6"/>
  <c r="Z6"/>
  <c r="W6"/>
  <c r="T6"/>
  <c r="Q6"/>
  <c r="N6"/>
  <c r="K6"/>
  <c r="H6"/>
  <c r="E6"/>
  <c r="B6"/>
  <c r="AU5"/>
  <c r="AR5"/>
  <c r="AO5"/>
  <c r="AL5"/>
  <c r="AI5"/>
  <c r="AF5"/>
  <c r="AC5"/>
  <c r="Z5"/>
  <c r="W5"/>
  <c r="T5"/>
  <c r="Q5"/>
  <c r="N5"/>
  <c r="K5"/>
  <c r="H5"/>
  <c r="E5"/>
  <c r="B5"/>
  <c r="A8"/>
  <c r="AY16" s="1"/>
  <c r="A7"/>
  <c r="AY15" s="1"/>
  <c r="A6"/>
  <c r="AY14" s="1"/>
  <c r="A5"/>
  <c r="AY13" s="1"/>
  <c r="A4"/>
  <c r="AY12" s="1"/>
  <c r="AC4"/>
  <c r="Z4"/>
  <c r="E4"/>
  <c r="B4"/>
  <c r="AU4"/>
  <c r="AR4"/>
  <c r="AO4"/>
  <c r="AL4"/>
  <c r="AI4"/>
  <c r="AF4"/>
  <c r="W4"/>
  <c r="T4"/>
  <c r="Q4"/>
  <c r="N4"/>
  <c r="K4"/>
  <c r="H4"/>
  <c r="T9" i="2"/>
  <c r="G15" i="10"/>
  <c r="Y5" i="2"/>
  <c r="Y4"/>
  <c r="G14" i="10"/>
  <c r="G23"/>
  <c r="B24" i="2"/>
  <c r="B26"/>
  <c r="D27"/>
  <c r="D25"/>
  <c r="E25"/>
  <c r="D23"/>
  <c r="C25"/>
  <c r="Y8"/>
  <c r="Y7"/>
  <c r="Y6"/>
  <c r="Y9"/>
  <c r="G24" i="10"/>
  <c r="G22"/>
  <c r="G20"/>
  <c r="G25"/>
  <c r="A84" l="1"/>
  <c r="C84" s="1"/>
  <c r="B9" i="2"/>
  <c r="C9" s="1"/>
  <c r="B7"/>
  <c r="B4"/>
  <c r="K4"/>
  <c r="A37" i="10"/>
  <c r="C37" s="1"/>
  <c r="A5"/>
  <c r="C5" s="1"/>
  <c r="A46"/>
  <c r="C46" s="1"/>
  <c r="A39"/>
  <c r="C39" s="1"/>
  <c r="G18"/>
  <c r="A41"/>
  <c r="C41" s="1"/>
  <c r="A47"/>
  <c r="C47" s="1"/>
  <c r="G16"/>
  <c r="G19"/>
  <c r="T7" i="2"/>
  <c r="T8"/>
  <c r="P6"/>
  <c r="A74" i="10"/>
  <c r="C74" s="1"/>
  <c r="A71"/>
  <c r="C71" s="1"/>
  <c r="A40"/>
  <c r="C40" s="1"/>
  <c r="A23"/>
  <c r="C23" s="1"/>
  <c r="A16"/>
  <c r="C16" s="1"/>
  <c r="A10"/>
  <c r="C10" s="1"/>
  <c r="G9" i="7"/>
  <c r="G8"/>
  <c r="T4" i="2"/>
  <c r="A11" i="10"/>
  <c r="T6" i="2"/>
  <c r="T5"/>
  <c r="B8"/>
  <c r="A87" i="10"/>
  <c r="C87" s="1"/>
  <c r="A34"/>
  <c r="C34" s="1"/>
  <c r="F8" i="2"/>
  <c r="A15" i="10"/>
  <c r="C15" s="1"/>
  <c r="A82"/>
  <c r="C82" s="1"/>
  <c r="B6" i="2"/>
  <c r="A55" i="10"/>
  <c r="C55" s="1"/>
  <c r="A60"/>
  <c r="C60" s="1"/>
  <c r="A28"/>
  <c r="C28" s="1"/>
  <c r="A52"/>
  <c r="C52" s="1"/>
  <c r="G6" i="7"/>
  <c r="A63" i="10"/>
  <c r="C63" s="1"/>
  <c r="A31"/>
  <c r="C31" s="1"/>
  <c r="A3"/>
  <c r="C3" s="1"/>
  <c r="A59"/>
  <c r="C59" s="1"/>
  <c r="A29"/>
  <c r="C29" s="1"/>
  <c r="F18" i="2"/>
  <c r="Z8"/>
  <c r="A97" i="10"/>
  <c r="C97" s="1"/>
  <c r="A93"/>
  <c r="C93" s="1"/>
  <c r="A90"/>
  <c r="C90" s="1"/>
  <c r="A86"/>
  <c r="C86" s="1"/>
  <c r="A83"/>
  <c r="C83" s="1"/>
  <c r="A76"/>
  <c r="C76" s="1"/>
  <c r="A73"/>
  <c r="C73" s="1"/>
  <c r="A69"/>
  <c r="C69" s="1"/>
  <c r="A66"/>
  <c r="C66" s="1"/>
  <c r="A62"/>
  <c r="C62" s="1"/>
  <c r="A49"/>
  <c r="C49" s="1"/>
  <c r="A45"/>
  <c r="C45" s="1"/>
  <c r="A42"/>
  <c r="C42" s="1"/>
  <c r="A38"/>
  <c r="C38" s="1"/>
  <c r="A35"/>
  <c r="C35" s="1"/>
  <c r="A25"/>
  <c r="C25" s="1"/>
  <c r="A21"/>
  <c r="C21" s="1"/>
  <c r="Z5" i="2"/>
  <c r="U5"/>
  <c r="F4"/>
  <c r="K6"/>
  <c r="Z4"/>
  <c r="A96" i="10"/>
  <c r="C96" s="1"/>
  <c r="P9" i="2"/>
  <c r="K5"/>
  <c r="F14"/>
  <c r="U9"/>
  <c r="F7"/>
  <c r="A18" i="10"/>
  <c r="C18" s="1"/>
  <c r="A14"/>
  <c r="C14" s="1"/>
  <c r="G4" i="7"/>
  <c r="J4" s="1"/>
  <c r="A94" i="10"/>
  <c r="C94" s="1"/>
  <c r="Z9" i="2"/>
  <c r="U6"/>
  <c r="F5"/>
  <c r="P7"/>
  <c r="F6"/>
  <c r="A81" i="10"/>
  <c r="C81" s="1"/>
  <c r="F17" i="2"/>
  <c r="A95" i="10"/>
  <c r="C95" s="1"/>
  <c r="U8" i="2"/>
  <c r="U4"/>
  <c r="A72" i="10"/>
  <c r="C72" s="1"/>
  <c r="P8" i="2"/>
  <c r="U7"/>
  <c r="Z6"/>
  <c r="F15"/>
  <c r="K8"/>
  <c r="F16"/>
  <c r="F13"/>
  <c r="K9"/>
  <c r="J8" i="7"/>
  <c r="M8" s="1"/>
  <c r="P8" s="1"/>
  <c r="C17"/>
  <c r="P5" i="2"/>
  <c r="F9"/>
  <c r="K7"/>
  <c r="P4"/>
  <c r="Z7"/>
  <c r="A70" i="10"/>
  <c r="C70" s="1"/>
  <c r="C11"/>
  <c r="A57"/>
  <c r="C57" s="1"/>
  <c r="G5" i="7"/>
  <c r="J5" s="1"/>
  <c r="M5" s="1"/>
  <c r="P5" s="1"/>
  <c r="S5" s="1"/>
  <c r="A51" i="10"/>
  <c r="C51" s="1"/>
  <c r="A61"/>
  <c r="C61" s="1"/>
  <c r="A85"/>
  <c r="C85" s="1"/>
  <c r="A68"/>
  <c r="C68" s="1"/>
  <c r="A56"/>
  <c r="C56" s="1"/>
  <c r="A64"/>
  <c r="C64" s="1"/>
  <c r="A6"/>
  <c r="C6" s="1"/>
  <c r="A12"/>
  <c r="C12" s="1"/>
  <c r="A24"/>
  <c r="C24" s="1"/>
  <c r="A30"/>
  <c r="C30" s="1"/>
  <c r="A36"/>
  <c r="C36" s="1"/>
  <c r="A48"/>
  <c r="C48" s="1"/>
  <c r="A9"/>
  <c r="C9" s="1"/>
  <c r="A80"/>
  <c r="C80" s="1"/>
  <c r="A92"/>
  <c r="C92" s="1"/>
  <c r="A91"/>
  <c r="C91" s="1"/>
  <c r="A77"/>
  <c r="C77" s="1"/>
  <c r="A54"/>
  <c r="C54" s="1"/>
  <c r="A8"/>
  <c r="C8" s="1"/>
  <c r="A20"/>
  <c r="C20" s="1"/>
  <c r="A26"/>
  <c r="C26" s="1"/>
  <c r="A32"/>
  <c r="C32" s="1"/>
  <c r="A44"/>
  <c r="C44" s="1"/>
  <c r="A50"/>
  <c r="C50" s="1"/>
  <c r="A33"/>
  <c r="C33" s="1"/>
  <c r="A27"/>
  <c r="C27" s="1"/>
  <c r="A75"/>
  <c r="C75" s="1"/>
  <c r="A13"/>
  <c r="C13" s="1"/>
  <c r="A88"/>
  <c r="C88" s="1"/>
  <c r="A19"/>
  <c r="C19" s="1"/>
  <c r="A43"/>
  <c r="C43" s="1"/>
  <c r="A67"/>
  <c r="C67" s="1"/>
  <c r="A89"/>
  <c r="C89" s="1"/>
  <c r="A79"/>
  <c r="C79" s="1"/>
  <c r="A7"/>
  <c r="C7" s="1"/>
  <c r="A17"/>
  <c r="C17" s="1"/>
  <c r="A53"/>
  <c r="C53" s="1"/>
  <c r="A78"/>
  <c r="C78" s="1"/>
  <c r="A4"/>
  <c r="C4" s="1"/>
  <c r="A65"/>
  <c r="C65" s="1"/>
  <c r="A58"/>
  <c r="C58" s="1"/>
  <c r="D28" i="2"/>
  <c r="D26"/>
  <c r="E28"/>
  <c r="C26"/>
  <c r="E23"/>
  <c r="E26"/>
  <c r="E27"/>
  <c r="C23"/>
  <c r="B25"/>
  <c r="B23"/>
  <c r="C24"/>
  <c r="C28"/>
  <c r="C27"/>
  <c r="B27"/>
  <c r="B28"/>
  <c r="J6" i="7"/>
  <c r="M4"/>
  <c r="C13"/>
  <c r="C12"/>
  <c r="AZ16"/>
  <c r="AZ15"/>
  <c r="C15"/>
  <c r="C16"/>
  <c r="G7"/>
  <c r="AZ14"/>
  <c r="C14"/>
  <c r="AZ13"/>
  <c r="AZ17"/>
  <c r="J9"/>
  <c r="AZ12"/>
  <c r="C6" i="2" l="1"/>
  <c r="C5"/>
  <c r="C4"/>
  <c r="C8"/>
  <c r="C7"/>
  <c r="E6" i="1"/>
  <c r="D6"/>
  <c r="C6"/>
  <c r="C5"/>
  <c r="H12"/>
  <c r="C17"/>
  <c r="H32"/>
  <c r="T34"/>
  <c r="T26"/>
  <c r="O16"/>
  <c r="R8"/>
  <c r="N30"/>
  <c r="S25"/>
  <c r="O5"/>
  <c r="J35"/>
  <c r="J15"/>
  <c r="D5"/>
  <c r="J23"/>
  <c r="T17"/>
  <c r="D30"/>
  <c r="J4"/>
  <c r="N25"/>
  <c r="T4"/>
  <c r="O7"/>
  <c r="I6"/>
  <c r="I16"/>
  <c r="J13"/>
  <c r="O31"/>
  <c r="M30"/>
  <c r="N3"/>
  <c r="T35"/>
  <c r="S30"/>
  <c r="D12"/>
  <c r="H21"/>
  <c r="D23"/>
  <c r="S22"/>
  <c r="H5"/>
  <c r="J30"/>
  <c r="O15"/>
  <c r="H14"/>
  <c r="E26"/>
  <c r="H33"/>
  <c r="D25"/>
  <c r="D33"/>
  <c r="E12"/>
  <c r="S21"/>
  <c r="E4"/>
  <c r="I33"/>
  <c r="T32"/>
  <c r="R33"/>
  <c r="N31"/>
  <c r="H22"/>
  <c r="J12"/>
  <c r="H24"/>
  <c r="T31"/>
  <c r="T6"/>
  <c r="E8"/>
  <c r="T13"/>
  <c r="D22"/>
  <c r="E30"/>
  <c r="E24"/>
  <c r="C8"/>
  <c r="D31"/>
  <c r="D26"/>
  <c r="J34"/>
  <c r="E15"/>
  <c r="S12"/>
  <c r="R3"/>
  <c r="T3"/>
  <c r="M23"/>
  <c r="I24"/>
  <c r="N32"/>
  <c r="M5"/>
  <c r="R14"/>
  <c r="D15"/>
  <c r="M12"/>
  <c r="H35"/>
  <c r="C13"/>
  <c r="M35"/>
  <c r="O8"/>
  <c r="T14"/>
  <c r="C3"/>
  <c r="M16"/>
  <c r="I23"/>
  <c r="I30"/>
  <c r="R30"/>
  <c r="C16"/>
  <c r="E35"/>
  <c r="E5"/>
  <c r="S34"/>
  <c r="N35"/>
  <c r="H25"/>
  <c r="C22"/>
  <c r="H26"/>
  <c r="T5"/>
  <c r="S17"/>
  <c r="J32"/>
  <c r="N22"/>
  <c r="J25"/>
  <c r="E32"/>
  <c r="R25"/>
  <c r="N12"/>
  <c r="J7"/>
  <c r="N13"/>
  <c r="T15"/>
  <c r="D14"/>
  <c r="E13"/>
  <c r="R16"/>
  <c r="T8"/>
  <c r="J8"/>
  <c r="I21"/>
  <c r="N6"/>
  <c r="N26"/>
  <c r="O22"/>
  <c r="I7"/>
  <c r="K7" s="1"/>
  <c r="I4"/>
  <c r="E31"/>
  <c r="H31"/>
  <c r="S13"/>
  <c r="S35"/>
  <c r="M4"/>
  <c r="H4"/>
  <c r="I13"/>
  <c r="K13" s="1"/>
  <c r="T30"/>
  <c r="M3"/>
  <c r="J21"/>
  <c r="E22"/>
  <c r="E7"/>
  <c r="R5"/>
  <c r="M31"/>
  <c r="M33"/>
  <c r="R21"/>
  <c r="M6"/>
  <c r="O14"/>
  <c r="N15"/>
  <c r="P15" s="1"/>
  <c r="J3"/>
  <c r="E16"/>
  <c r="H3"/>
  <c r="D24"/>
  <c r="E25"/>
  <c r="C24"/>
  <c r="M32"/>
  <c r="S32"/>
  <c r="O25"/>
  <c r="N23"/>
  <c r="D32"/>
  <c r="J31"/>
  <c r="I12"/>
  <c r="C12"/>
  <c r="O6"/>
  <c r="S6"/>
  <c r="T21"/>
  <c r="O23"/>
  <c r="H30"/>
  <c r="C34"/>
  <c r="C26"/>
  <c r="D7"/>
  <c r="E14"/>
  <c r="I15"/>
  <c r="O17"/>
  <c r="R32"/>
  <c r="I35"/>
  <c r="N33"/>
  <c r="J5"/>
  <c r="O21"/>
  <c r="T22"/>
  <c r="R31"/>
  <c r="J24"/>
  <c r="M22"/>
  <c r="D17"/>
  <c r="T25"/>
  <c r="S33"/>
  <c r="D35"/>
  <c r="D4"/>
  <c r="M34"/>
  <c r="R24"/>
  <c r="O13"/>
  <c r="D3"/>
  <c r="C32"/>
  <c r="T12"/>
  <c r="H23"/>
  <c r="S5"/>
  <c r="R15"/>
  <c r="I22"/>
  <c r="S15"/>
  <c r="U15" s="1"/>
  <c r="C25"/>
  <c r="D8"/>
  <c r="T24"/>
  <c r="S26"/>
  <c r="U26" s="1"/>
  <c r="E23"/>
  <c r="C31"/>
  <c r="M8"/>
  <c r="J16"/>
  <c r="M24"/>
  <c r="J26"/>
  <c r="T7"/>
  <c r="I32"/>
  <c r="K32" s="1"/>
  <c r="O30"/>
  <c r="S7"/>
  <c r="C14"/>
  <c r="S3"/>
  <c r="D34"/>
  <c r="O32"/>
  <c r="E3"/>
  <c r="H13"/>
  <c r="E33"/>
  <c r="T33"/>
  <c r="C4"/>
  <c r="N8"/>
  <c r="N17"/>
  <c r="E34"/>
  <c r="I5"/>
  <c r="K5" s="1"/>
  <c r="H8"/>
  <c r="H16"/>
  <c r="M14"/>
  <c r="S4"/>
  <c r="C7"/>
  <c r="S16"/>
  <c r="N34"/>
  <c r="O35"/>
  <c r="N24"/>
  <c r="M26"/>
  <c r="H34"/>
  <c r="S23"/>
  <c r="T16"/>
  <c r="I25"/>
  <c r="S14"/>
  <c r="R17"/>
  <c r="E17"/>
  <c r="N5"/>
  <c r="P5" s="1"/>
  <c r="O12"/>
  <c r="D16"/>
  <c r="H6"/>
  <c r="R4"/>
  <c r="R23"/>
  <c r="R34"/>
  <c r="O26"/>
  <c r="O34"/>
  <c r="I14"/>
  <c r="C33"/>
  <c r="D13"/>
  <c r="S31"/>
  <c r="O3"/>
  <c r="C35"/>
  <c r="N7"/>
  <c r="J17"/>
  <c r="M25"/>
  <c r="J6"/>
  <c r="C30"/>
  <c r="N16"/>
  <c r="P16" s="1"/>
  <c r="H7"/>
  <c r="D21"/>
  <c r="H15"/>
  <c r="R6"/>
  <c r="O4"/>
  <c r="O24"/>
  <c r="C21"/>
  <c r="M21"/>
  <c r="I3"/>
  <c r="T23"/>
  <c r="R7"/>
  <c r="I8"/>
  <c r="K8" s="1"/>
  <c r="R12"/>
  <c r="S24"/>
  <c r="U24" s="1"/>
  <c r="N21"/>
  <c r="R26"/>
  <c r="R13"/>
  <c r="E21"/>
  <c r="N14"/>
  <c r="I17"/>
  <c r="K17" s="1"/>
  <c r="C15"/>
  <c r="M15"/>
  <c r="N4"/>
  <c r="O33"/>
  <c r="J33"/>
  <c r="S8"/>
  <c r="I31"/>
  <c r="H17"/>
  <c r="J14"/>
  <c r="K14" s="1"/>
  <c r="R22"/>
  <c r="M13"/>
  <c r="R35"/>
  <c r="M17"/>
  <c r="I34"/>
  <c r="I26"/>
  <c r="J22"/>
  <c r="C23"/>
  <c r="M7"/>
  <c r="F17" i="7"/>
  <c r="F14"/>
  <c r="F12"/>
  <c r="BA17"/>
  <c r="BA14"/>
  <c r="P22" i="1"/>
  <c r="V5" i="7"/>
  <c r="M9"/>
  <c r="S8"/>
  <c r="F13"/>
  <c r="BA13"/>
  <c r="F16"/>
  <c r="P4"/>
  <c r="J7"/>
  <c r="F15"/>
  <c r="BA15"/>
  <c r="BA16"/>
  <c r="M6"/>
  <c r="BA12"/>
  <c r="K15" i="1" l="1"/>
  <c r="X25"/>
  <c r="X17"/>
  <c r="W26"/>
  <c r="Y26" s="1"/>
  <c r="X26"/>
  <c r="W17"/>
  <c r="W34"/>
  <c r="Y34" s="1"/>
  <c r="X16"/>
  <c r="X34"/>
  <c r="W16"/>
  <c r="Y16" s="1"/>
  <c r="X15"/>
  <c r="F22"/>
  <c r="X33"/>
  <c r="U4"/>
  <c r="K24"/>
  <c r="K26"/>
  <c r="K31"/>
  <c r="F13"/>
  <c r="P35"/>
  <c r="U12"/>
  <c r="F25"/>
  <c r="U35"/>
  <c r="U17"/>
  <c r="W22"/>
  <c r="Y22" s="1"/>
  <c r="P33"/>
  <c r="U31"/>
  <c r="P34"/>
  <c r="K25"/>
  <c r="P30"/>
  <c r="F23"/>
  <c r="U5"/>
  <c r="F4"/>
  <c r="K35"/>
  <c r="K21"/>
  <c r="W15"/>
  <c r="Y15" s="1"/>
  <c r="F34"/>
  <c r="W33"/>
  <c r="Y33" s="1"/>
  <c r="F14"/>
  <c r="P12"/>
  <c r="X22"/>
  <c r="U13"/>
  <c r="P3"/>
  <c r="F15"/>
  <c r="X4"/>
  <c r="P14"/>
  <c r="Y17"/>
  <c r="K16"/>
  <c r="K30"/>
  <c r="F3"/>
  <c r="U21"/>
  <c r="P25"/>
  <c r="K23"/>
  <c r="X23"/>
  <c r="W14"/>
  <c r="Y14" s="1"/>
  <c r="W4"/>
  <c r="Y4" s="1"/>
  <c r="X14"/>
  <c r="X32"/>
  <c r="W32"/>
  <c r="Y32" s="1"/>
  <c r="W5"/>
  <c r="Y5" s="1"/>
  <c r="X5"/>
  <c r="P6"/>
  <c r="U6"/>
  <c r="W6"/>
  <c r="Y6" s="1"/>
  <c r="F6"/>
  <c r="X31"/>
  <c r="W31"/>
  <c r="Y31" s="1"/>
  <c r="X12"/>
  <c r="W30"/>
  <c r="Y30" s="1"/>
  <c r="W21"/>
  <c r="Y21" s="1"/>
  <c r="X30"/>
  <c r="U16"/>
  <c r="W12"/>
  <c r="Y12" s="1"/>
  <c r="U23"/>
  <c r="X3"/>
  <c r="BB17" i="7"/>
  <c r="F21" i="1"/>
  <c r="U33"/>
  <c r="P17"/>
  <c r="K3"/>
  <c r="W7"/>
  <c r="Y7" s="1"/>
  <c r="W35"/>
  <c r="Y35" s="1"/>
  <c r="P32"/>
  <c r="K33"/>
  <c r="F33"/>
  <c r="U22"/>
  <c r="U30"/>
  <c r="F30"/>
  <c r="U34"/>
  <c r="K22"/>
  <c r="P31"/>
  <c r="W25"/>
  <c r="Y25" s="1"/>
  <c r="F32"/>
  <c r="P4"/>
  <c r="P7"/>
  <c r="P8"/>
  <c r="P13"/>
  <c r="F35"/>
  <c r="F7"/>
  <c r="X21"/>
  <c r="X24"/>
  <c r="W23"/>
  <c r="Y23" s="1"/>
  <c r="F24"/>
  <c r="F8"/>
  <c r="K12"/>
  <c r="U32"/>
  <c r="X6"/>
  <c r="K4"/>
  <c r="W13"/>
  <c r="Y13" s="1"/>
  <c r="U8"/>
  <c r="U14"/>
  <c r="W3"/>
  <c r="Y3" s="1"/>
  <c r="U25"/>
  <c r="P21"/>
  <c r="F31"/>
  <c r="F26"/>
  <c r="W24"/>
  <c r="Y24" s="1"/>
  <c r="W8"/>
  <c r="Y8" s="1"/>
  <c r="F12"/>
  <c r="I14" i="7"/>
  <c r="X7" i="1"/>
  <c r="F5"/>
  <c r="U3"/>
  <c r="K34"/>
  <c r="P26"/>
  <c r="P23"/>
  <c r="BB14" i="7"/>
  <c r="X8" i="1"/>
  <c r="P24"/>
  <c r="F16"/>
  <c r="F17"/>
  <c r="X13"/>
  <c r="K6"/>
  <c r="X35"/>
  <c r="U7"/>
  <c r="S4" i="7"/>
  <c r="P6"/>
  <c r="P9"/>
  <c r="Y5"/>
  <c r="V8"/>
  <c r="BB15"/>
  <c r="M7"/>
  <c r="I15"/>
  <c r="I13"/>
  <c r="I16"/>
  <c r="BB12"/>
  <c r="BB13"/>
  <c r="I12"/>
  <c r="BB16"/>
  <c r="I17"/>
  <c r="AA26" i="1" l="1"/>
  <c r="AA17"/>
  <c r="AA34"/>
  <c r="AA25"/>
  <c r="AA16"/>
  <c r="AA33"/>
  <c r="AA15"/>
  <c r="AA32"/>
  <c r="AA23"/>
  <c r="AA5"/>
  <c r="AA14"/>
  <c r="AA3"/>
  <c r="AA4"/>
  <c r="AA22"/>
  <c r="AA31"/>
  <c r="AA21"/>
  <c r="AA30"/>
  <c r="AA24"/>
  <c r="AA12"/>
  <c r="AA35"/>
  <c r="AA13"/>
  <c r="AA6"/>
  <c r="AA7"/>
  <c r="AA8"/>
  <c r="BC17" i="7"/>
  <c r="S9"/>
  <c r="V4"/>
  <c r="Y8"/>
  <c r="AB5"/>
  <c r="S6"/>
  <c r="L13"/>
  <c r="BC12"/>
  <c r="P7"/>
  <c r="BC15"/>
  <c r="L15"/>
  <c r="BC16"/>
  <c r="L16"/>
  <c r="L12"/>
  <c r="BC13"/>
  <c r="O14"/>
  <c r="L17"/>
  <c r="L14"/>
  <c r="O12"/>
  <c r="BC14"/>
  <c r="BD12" l="1"/>
  <c r="S7"/>
  <c r="O15"/>
  <c r="BD15"/>
  <c r="BD13"/>
  <c r="O16"/>
  <c r="O13"/>
  <c r="BD16"/>
  <c r="V6"/>
  <c r="Y4"/>
  <c r="BD17"/>
  <c r="AE5"/>
  <c r="AB8"/>
  <c r="V9"/>
  <c r="O17"/>
  <c r="BD14"/>
  <c r="BE14" l="1"/>
  <c r="BE16"/>
  <c r="R14"/>
  <c r="R17"/>
  <c r="BE13"/>
  <c r="BE17"/>
  <c r="Y6"/>
  <c r="Y9"/>
  <c r="BE15"/>
  <c r="R15"/>
  <c r="V7"/>
  <c r="R12"/>
  <c r="R13"/>
  <c r="BE12"/>
  <c r="AE8"/>
  <c r="AH5"/>
  <c r="AB4"/>
  <c r="R16"/>
  <c r="BF16" l="1"/>
  <c r="U14"/>
  <c r="U16"/>
  <c r="U17"/>
  <c r="AE4"/>
  <c r="AB9"/>
  <c r="AB6"/>
  <c r="AK5"/>
  <c r="AH8"/>
  <c r="Y7"/>
  <c r="X13" s="1"/>
  <c r="BF15"/>
  <c r="U15"/>
  <c r="BF13"/>
  <c r="U13"/>
  <c r="U12"/>
  <c r="BF12"/>
  <c r="BF17"/>
  <c r="BF14"/>
  <c r="X17" l="1"/>
  <c r="BG17"/>
  <c r="BG16"/>
  <c r="AB7"/>
  <c r="AA17" s="1"/>
  <c r="BG15"/>
  <c r="X15"/>
  <c r="BG12"/>
  <c r="BG13"/>
  <c r="X12"/>
  <c r="AE6"/>
  <c r="AN5"/>
  <c r="AK8"/>
  <c r="AE9"/>
  <c r="AH4"/>
  <c r="X16"/>
  <c r="X14"/>
  <c r="BG14"/>
  <c r="BH13" l="1"/>
  <c r="AA16"/>
  <c r="AN8"/>
  <c r="AH6"/>
  <c r="AA15"/>
  <c r="AE7"/>
  <c r="AD14" s="1"/>
  <c r="BH15"/>
  <c r="AK4"/>
  <c r="AQ5"/>
  <c r="BH12"/>
  <c r="AA12"/>
  <c r="AH9"/>
  <c r="BH14"/>
  <c r="AA13"/>
  <c r="BH17"/>
  <c r="BH16"/>
  <c r="AA14"/>
  <c r="BI14" l="1"/>
  <c r="BI17"/>
  <c r="AD16"/>
  <c r="AD12"/>
  <c r="AK9"/>
  <c r="AQ8"/>
  <c r="AN4"/>
  <c r="AD15"/>
  <c r="BI15"/>
  <c r="AH7"/>
  <c r="BI13"/>
  <c r="BI12"/>
  <c r="AK6"/>
  <c r="AD13"/>
  <c r="AD17"/>
  <c r="AT5"/>
  <c r="BI16"/>
  <c r="AG14" l="1"/>
  <c r="BJ14"/>
  <c r="AW5"/>
  <c r="AG15"/>
  <c r="BJ15"/>
  <c r="AK7"/>
  <c r="AG13"/>
  <c r="BJ13"/>
  <c r="AG16"/>
  <c r="AG12"/>
  <c r="BJ12"/>
  <c r="AT8"/>
  <c r="AG17"/>
  <c r="AQ4"/>
  <c r="AN9"/>
  <c r="BJ16"/>
  <c r="BJ17"/>
  <c r="AN6"/>
  <c r="BK16" l="1"/>
  <c r="BK14"/>
  <c r="AQ9"/>
  <c r="AW8"/>
  <c r="AQ6"/>
  <c r="AN7"/>
  <c r="BL12" s="1"/>
  <c r="AJ15"/>
  <c r="BK15"/>
  <c r="AJ16"/>
  <c r="BK13"/>
  <c r="AJ13"/>
  <c r="BK12"/>
  <c r="AJ12"/>
  <c r="AJ17"/>
  <c r="AT4"/>
  <c r="AJ14"/>
  <c r="BK17"/>
  <c r="AT6" l="1"/>
  <c r="BL15"/>
  <c r="AQ7"/>
  <c r="AM15"/>
  <c r="BL13"/>
  <c r="AM16"/>
  <c r="BL16"/>
  <c r="AM13"/>
  <c r="AM12"/>
  <c r="AT9"/>
  <c r="AW4"/>
  <c r="BL14"/>
  <c r="BL17"/>
  <c r="BM12"/>
  <c r="AM14"/>
  <c r="AM17"/>
  <c r="AP17" l="1"/>
  <c r="BM17"/>
  <c r="AP16"/>
  <c r="BM14"/>
  <c r="AW9"/>
  <c r="AW6"/>
  <c r="BM15"/>
  <c r="AP15"/>
  <c r="AT7"/>
  <c r="AS17" s="1"/>
  <c r="AP13"/>
  <c r="AP12"/>
  <c r="BM13"/>
  <c r="AP14"/>
  <c r="BM16"/>
  <c r="AS13" l="1"/>
  <c r="AS14"/>
  <c r="BN15"/>
  <c r="AW7"/>
  <c r="AV12" s="1"/>
  <c r="AS15"/>
  <c r="BN13"/>
  <c r="AS12"/>
  <c r="AS16"/>
  <c r="BN16"/>
  <c r="BN17"/>
  <c r="BN12"/>
  <c r="BN14"/>
  <c r="AV17" l="1"/>
  <c r="BO12"/>
  <c r="BO14"/>
  <c r="BO15"/>
  <c r="AV15"/>
  <c r="AV13"/>
  <c r="BO13"/>
  <c r="BO17"/>
  <c r="AV14"/>
  <c r="AV16"/>
  <c r="BO16"/>
</calcChain>
</file>

<file path=xl/sharedStrings.xml><?xml version="1.0" encoding="utf-8"?>
<sst xmlns="http://schemas.openxmlformats.org/spreadsheetml/2006/main" count="456" uniqueCount="81">
  <si>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</si>
  <si>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</si>
  <si>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</si>
  <si>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</si>
  <si>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</si>
  <si>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</si>
  <si>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</si>
  <si>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</si>
  <si>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</si>
  <si>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</si>
  <si>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</si>
  <si>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</si>
  <si>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</si>
  <si>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</si>
  <si>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</si>
  <si>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</si>
  <si>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</si>
  <si>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</si>
  <si>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</si>
  <si>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</si>
  <si>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</si>
  <si>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</si>
  <si>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</si>
  <si>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</si>
  <si>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</si>
  <si>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</si>
  <si>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</si>
  <si>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</si>
  <si>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</si>
  <si>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</si>
  <si>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</si>
  <si>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</si>
  <si>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</si>
  <si>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</si>
  <si>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</si>
  <si>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</si>
  <si>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</si>
  <si>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</si>
  <si>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</si>
  <si>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</si>
  <si>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</si>
  <si>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</si>
  <si>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</si>
  <si>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</si>
  <si>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</si>
  <si>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David Venour</t>
  </si>
  <si>
    <t>Count Name</t>
  </si>
  <si>
    <t>Seeding Order</t>
  </si>
  <si>
    <t>Selection Metric?</t>
  </si>
  <si>
    <t>Stephen Paine</t>
  </si>
  <si>
    <t>Glenn Goodman</t>
  </si>
  <si>
    <t>Stage 15</t>
  </si>
  <si>
    <t>Stage 16</t>
  </si>
  <si>
    <t>Stage 1-4</t>
  </si>
  <si>
    <t>Simon Bevege</t>
  </si>
  <si>
    <t>Dale Nardella</t>
  </si>
  <si>
    <t>Andrew Coles</t>
  </si>
  <si>
    <t>Tony Hally</t>
  </si>
  <si>
    <t>Rory Heddles</t>
  </si>
  <si>
    <t>Kate Seibold</t>
  </si>
  <si>
    <t>Ewen Vowels</t>
  </si>
  <si>
    <t>Joji Mori</t>
  </si>
  <si>
    <t>Paul Munro</t>
  </si>
  <si>
    <t>Richard Does</t>
  </si>
  <si>
    <t>Glenn Carroll</t>
  </si>
  <si>
    <t>Anthony Mithen</t>
  </si>
  <si>
    <t>Mark Stodden</t>
  </si>
  <si>
    <t>David Mellings</t>
  </si>
  <si>
    <t>Chris Osborne</t>
  </si>
  <si>
    <t>Robyn Millard</t>
  </si>
  <si>
    <t>James Chiriano</t>
  </si>
  <si>
    <t>Ross Prickett</t>
  </si>
  <si>
    <t>Martin Duchovny</t>
  </si>
  <si>
    <t>Robyn Fletcher</t>
  </si>
  <si>
    <t>Franky Reid</t>
  </si>
  <si>
    <t>Go Franky</t>
  </si>
  <si>
    <t>Oranges, Lemons and Dim Sims</t>
  </si>
  <si>
    <t>Ron Burgundy</t>
  </si>
  <si>
    <t>Magpie Army</t>
  </si>
  <si>
    <t>Daylight Chasers</t>
  </si>
  <si>
    <t>The Undeserving Favourites</t>
  </si>
</sst>
</file>

<file path=xl/styles.xml><?xml version="1.0" encoding="utf-8"?>
<styleSheet xmlns="http://schemas.openxmlformats.org/spreadsheetml/2006/main">
  <numFmts count="1">
    <numFmt numFmtId="172" formatCode="m:ss"/>
  </numFmts>
  <fonts count="2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  <charset val="2"/>
    </font>
    <font>
      <b/>
      <i/>
      <sz val="10"/>
      <color indexed="12"/>
      <name val="Tahoma"/>
      <family val="2"/>
    </font>
    <font>
      <i/>
      <sz val="10"/>
      <name val="Arial"/>
      <family val="2"/>
    </font>
    <font>
      <b/>
      <i/>
      <sz val="8"/>
      <color indexed="12"/>
      <name val="Tahoma"/>
      <family val="2"/>
    </font>
    <font>
      <sz val="10"/>
      <color theme="0" tint="-0.499984740745262"/>
      <name val="Tahoma"/>
      <family val="2"/>
    </font>
    <font>
      <u/>
      <sz val="10"/>
      <color theme="0" tint="-0.499984740745262"/>
      <name val="Tahoma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72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4" xfId="0" applyNumberFormat="1" applyFont="1" applyBorder="1" applyAlignment="1">
      <alignment horizontal="centerContinuous"/>
    </xf>
    <xf numFmtId="172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Continuous"/>
    </xf>
    <xf numFmtId="2" fontId="2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Continuous"/>
    </xf>
    <xf numFmtId="17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2" fontId="4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45" fontId="2" fillId="3" borderId="0" xfId="0" applyNumberFormat="1" applyFont="1" applyFill="1" applyBorder="1" applyAlignment="1" applyProtection="1">
      <alignment horizontal="center" vertical="center"/>
    </xf>
    <xf numFmtId="172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1" fontId="1" fillId="3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2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Protection="1"/>
    <xf numFmtId="0" fontId="4" fillId="4" borderId="1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/>
    </xf>
    <xf numFmtId="21" fontId="1" fillId="4" borderId="3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2" fontId="4" fillId="4" borderId="13" xfId="0" applyNumberFormat="1" applyFont="1" applyFill="1" applyBorder="1" applyAlignment="1" applyProtection="1">
      <alignment horizontal="right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vertical="center"/>
    </xf>
    <xf numFmtId="2" fontId="5" fillId="4" borderId="3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vertical="center"/>
      <protection locked="0"/>
    </xf>
    <xf numFmtId="4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45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12" xfId="0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/>
    </xf>
    <xf numFmtId="0" fontId="0" fillId="4" borderId="16" xfId="0" applyNumberFormat="1" applyFill="1" applyBorder="1" applyAlignment="1">
      <alignment horizontal="center"/>
    </xf>
    <xf numFmtId="172" fontId="0" fillId="4" borderId="17" xfId="0" applyNumberFormat="1" applyFill="1" applyBorder="1" applyAlignment="1">
      <alignment horizontal="center"/>
    </xf>
    <xf numFmtId="0" fontId="4" fillId="3" borderId="0" xfId="0" applyFont="1" applyFill="1"/>
    <xf numFmtId="0" fontId="4" fillId="3" borderId="0" xfId="0" applyNumberFormat="1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0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center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2" fontId="8" fillId="3" borderId="0" xfId="0" applyNumberFormat="1" applyFont="1" applyFill="1" applyProtection="1"/>
    <xf numFmtId="0" fontId="2" fillId="0" borderId="3" xfId="0" applyFont="1" applyBorder="1"/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/>
    <xf numFmtId="1" fontId="2" fillId="0" borderId="2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" fillId="4" borderId="12" xfId="0" applyFont="1" applyFill="1" applyBorder="1" applyAlignment="1" applyProtection="1">
      <alignment horizontal="left" vertical="center"/>
    </xf>
    <xf numFmtId="0" fontId="17" fillId="4" borderId="12" xfId="0" applyNumberFormat="1" applyFont="1" applyFill="1" applyBorder="1" applyAlignment="1">
      <alignment horizontal="centerContinuous" vertical="center"/>
    </xf>
    <xf numFmtId="0" fontId="17" fillId="4" borderId="13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/>
    </xf>
    <xf numFmtId="0" fontId="17" fillId="4" borderId="3" xfId="0" applyNumberFormat="1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/>
    </xf>
    <xf numFmtId="0" fontId="17" fillId="4" borderId="15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8" fillId="3" borderId="0" xfId="0" applyNumberFormat="1" applyFont="1" applyFill="1" applyAlignment="1">
      <alignment horizontal="left"/>
    </xf>
    <xf numFmtId="0" fontId="18" fillId="3" borderId="0" xfId="0" applyFont="1" applyFill="1"/>
    <xf numFmtId="0" fontId="15" fillId="3" borderId="0" xfId="0" applyFont="1" applyFill="1"/>
    <xf numFmtId="21" fontId="2" fillId="0" borderId="5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0" fillId="3" borderId="0" xfId="0" applyFont="1" applyFill="1" applyAlignment="1">
      <alignment horizontal="center"/>
    </xf>
    <xf numFmtId="0" fontId="20" fillId="3" borderId="0" xfId="0" applyFont="1" applyFill="1"/>
    <xf numFmtId="1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  <color rgb="FFA6242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MMM 5Ms Relay - Teams by Stage</a:t>
            </a:r>
          </a:p>
        </c:rich>
      </c:tx>
      <c:layout>
        <c:manualLayout>
          <c:xMode val="edge"/>
          <c:yMode val="edge"/>
          <c:x val="0.35367114788004139"/>
          <c:y val="2.0408163265306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695966907962769E-2"/>
          <c:y val="0.12585034013605442"/>
          <c:w val="0.74767321613236815"/>
          <c:h val="0.76190476190476186"/>
        </c:manualLayout>
      </c:layout>
      <c:lineChart>
        <c:grouping val="standard"/>
        <c:ser>
          <c:idx val="0"/>
          <c:order val="0"/>
          <c:tx>
            <c:strRef>
              <c:f>'Teams by Stage'!$AY$12</c:f>
              <c:strCache>
                <c:ptCount val="1"/>
                <c:pt idx="0">
                  <c:v>Go Franky</c:v>
                </c:pt>
              </c:strCache>
            </c:strRef>
          </c:tx>
          <c:spPr>
            <a:ln w="38100">
              <a:solidFill>
                <a:srgbClr val="6633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val>
            <c:numRef>
              <c:f>'Teams by Stage'!$AZ$12:$BO$12</c:f>
              <c:numCache>
                <c:formatCode>m:ss</c:formatCode>
                <c:ptCount val="16"/>
                <c:pt idx="0">
                  <c:v>1.2847222222222218E-3</c:v>
                </c:pt>
                <c:pt idx="1">
                  <c:v>1.2037037037037034E-3</c:v>
                </c:pt>
                <c:pt idx="2">
                  <c:v>6.9444444444448361E-5</c:v>
                </c:pt>
                <c:pt idx="3">
                  <c:v>3.7731481481481505E-3</c:v>
                </c:pt>
                <c:pt idx="4">
                  <c:v>4.9421296296296227E-3</c:v>
                </c:pt>
                <c:pt idx="5">
                  <c:v>4.8379629629629536E-3</c:v>
                </c:pt>
                <c:pt idx="6">
                  <c:v>4.8611111111111077E-3</c:v>
                </c:pt>
                <c:pt idx="7">
                  <c:v>8.9814814814814653E-3</c:v>
                </c:pt>
                <c:pt idx="8">
                  <c:v>9.2939814814814725E-3</c:v>
                </c:pt>
                <c:pt idx="9">
                  <c:v>1.291666666666666E-2</c:v>
                </c:pt>
                <c:pt idx="10">
                  <c:v>1.3310185185185175E-2</c:v>
                </c:pt>
                <c:pt idx="11">
                  <c:v>1.3148148148148145E-2</c:v>
                </c:pt>
                <c:pt idx="12">
                  <c:v>1.3715277777777785E-2</c:v>
                </c:pt>
                <c:pt idx="13">
                  <c:v>1.3761574074074079E-2</c:v>
                </c:pt>
                <c:pt idx="14">
                  <c:v>1.3680555555555557E-2</c:v>
                </c:pt>
                <c:pt idx="15">
                  <c:v>1.6192129629629654E-2</c:v>
                </c:pt>
              </c:numCache>
            </c:numRef>
          </c:val>
        </c:ser>
        <c:ser>
          <c:idx val="1"/>
          <c:order val="1"/>
          <c:tx>
            <c:strRef>
              <c:f>'Teams by Stage'!$AY$13</c:f>
              <c:strCache>
                <c:ptCount val="1"/>
                <c:pt idx="0">
                  <c:v>Oranges, Lemons and Dim Sims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'Teams by Stage'!$AZ$13:$BO$13</c:f>
              <c:numCache>
                <c:formatCode>m:ss</c:formatCode>
                <c:ptCount val="16"/>
                <c:pt idx="0">
                  <c:v>2.719907407407407E-3</c:v>
                </c:pt>
                <c:pt idx="1">
                  <c:v>2.7546296296296277E-3</c:v>
                </c:pt>
                <c:pt idx="2">
                  <c:v>3.0902777777777821E-3</c:v>
                </c:pt>
                <c:pt idx="3">
                  <c:v>1.412037037037038E-3</c:v>
                </c:pt>
                <c:pt idx="4">
                  <c:v>2.6504629629629517E-3</c:v>
                </c:pt>
                <c:pt idx="5">
                  <c:v>2.8935185185185106E-3</c:v>
                </c:pt>
                <c:pt idx="6">
                  <c:v>2.8587962962962898E-3</c:v>
                </c:pt>
                <c:pt idx="7">
                  <c:v>4.8726851851851744E-3</c:v>
                </c:pt>
                <c:pt idx="8">
                  <c:v>4.6064814814814753E-3</c:v>
                </c:pt>
                <c:pt idx="9">
                  <c:v>5.6712962962962854E-3</c:v>
                </c:pt>
                <c:pt idx="10">
                  <c:v>5.7407407407407268E-3</c:v>
                </c:pt>
                <c:pt idx="11">
                  <c:v>5.520833333333322E-3</c:v>
                </c:pt>
                <c:pt idx="12">
                  <c:v>5.7754629629629683E-3</c:v>
                </c:pt>
                <c:pt idx="13">
                  <c:v>5.9027777777777846E-3</c:v>
                </c:pt>
                <c:pt idx="14">
                  <c:v>6.2037037037037113E-3</c:v>
                </c:pt>
                <c:pt idx="15">
                  <c:v>6.9791666666666752E-3</c:v>
                </c:pt>
              </c:numCache>
            </c:numRef>
          </c:val>
        </c:ser>
        <c:ser>
          <c:idx val="2"/>
          <c:order val="2"/>
          <c:tx>
            <c:strRef>
              <c:f>'Teams by Stage'!$AY$14</c:f>
              <c:strCache>
                <c:ptCount val="1"/>
                <c:pt idx="0">
                  <c:v>Ron Burgundy</c:v>
                </c:pt>
              </c:strCache>
            </c:strRef>
          </c:tx>
          <c:spPr>
            <a:ln w="38100">
              <a:solidFill>
                <a:srgbClr val="A62424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A62424"/>
              </a:solidFill>
              <a:ln>
                <a:solidFill>
                  <a:srgbClr val="A62424"/>
                </a:solidFill>
                <a:prstDash val="solid"/>
              </a:ln>
            </c:spPr>
          </c:marker>
          <c:val>
            <c:numRef>
              <c:f>'Teams by Stage'!$AZ$14:$BO$14</c:f>
              <c:numCache>
                <c:formatCode>m:ss</c:formatCode>
                <c:ptCount val="16"/>
                <c:pt idx="0">
                  <c:v>7.0601851851851728E-4</c:v>
                </c:pt>
                <c:pt idx="1">
                  <c:v>6.8287037037036841E-4</c:v>
                </c:pt>
                <c:pt idx="2">
                  <c:v>0</c:v>
                </c:pt>
                <c:pt idx="3">
                  <c:v>0</c:v>
                </c:pt>
                <c:pt idx="4">
                  <c:v>3.0092592592591977E-4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'Teams by Stage'!$AY$15</c:f>
              <c:strCache>
                <c:ptCount val="1"/>
                <c:pt idx="0">
                  <c:v>Magpie Army</c:v>
                </c:pt>
              </c:strCache>
            </c:strRef>
          </c:tx>
          <c:spPr>
            <a:ln w="38100">
              <a:solidFill>
                <a:schemeClr val="bg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/>
                </a:solidFill>
                <a:prstDash val="solid"/>
              </a:ln>
            </c:spPr>
          </c:marker>
          <c:val>
            <c:numRef>
              <c:f>'Teams by Stage'!$AZ$15:$BO$15</c:f>
              <c:numCache>
                <c:formatCode>m:ss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6.3657407407408106E-4</c:v>
                </c:pt>
                <c:pt idx="3">
                  <c:v>7.2916666666667657E-4</c:v>
                </c:pt>
                <c:pt idx="4">
                  <c:v>0</c:v>
                </c:pt>
                <c:pt idx="5">
                  <c:v>2.7777777777777957E-4</c:v>
                </c:pt>
                <c:pt idx="6">
                  <c:v>1.574074074074075E-3</c:v>
                </c:pt>
                <c:pt idx="7">
                  <c:v>1.6319444444444359E-3</c:v>
                </c:pt>
                <c:pt idx="8">
                  <c:v>2.5115740740740689E-3</c:v>
                </c:pt>
                <c:pt idx="9">
                  <c:v>2.7662037037037013E-3</c:v>
                </c:pt>
                <c:pt idx="10">
                  <c:v>3.1944444444444442E-3</c:v>
                </c:pt>
                <c:pt idx="11">
                  <c:v>5.7175925925925936E-3</c:v>
                </c:pt>
                <c:pt idx="12">
                  <c:v>4.4907407407407396E-3</c:v>
                </c:pt>
                <c:pt idx="13">
                  <c:v>4.7569444444444386E-3</c:v>
                </c:pt>
                <c:pt idx="14">
                  <c:v>5.3240740740740644E-3</c:v>
                </c:pt>
                <c:pt idx="15">
                  <c:v>5.2199074074074092E-3</c:v>
                </c:pt>
              </c:numCache>
            </c:numRef>
          </c:val>
        </c:ser>
        <c:ser>
          <c:idx val="4"/>
          <c:order val="4"/>
          <c:tx>
            <c:strRef>
              <c:f>'Teams by Stage'!$AY$16</c:f>
              <c:strCache>
                <c:ptCount val="1"/>
                <c:pt idx="0">
                  <c:v>Daylight Chasers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val>
            <c:numRef>
              <c:f>'Teams by Stage'!$AZ$16:$BO$16</c:f>
              <c:numCache>
                <c:formatCode>m:ss</c:formatCode>
                <c:ptCount val="16"/>
                <c:pt idx="0">
                  <c:v>2.7777777777777783E-4</c:v>
                </c:pt>
                <c:pt idx="1">
                  <c:v>4.8611111111111077E-4</c:v>
                </c:pt>
                <c:pt idx="2">
                  <c:v>3.0092592592593018E-4</c:v>
                </c:pt>
                <c:pt idx="3">
                  <c:v>5.4398148148148556E-4</c:v>
                </c:pt>
                <c:pt idx="4">
                  <c:v>1.1574074074066631E-5</c:v>
                </c:pt>
                <c:pt idx="5">
                  <c:v>4.3981481481481649E-4</c:v>
                </c:pt>
                <c:pt idx="6">
                  <c:v>1.2731481481481483E-3</c:v>
                </c:pt>
                <c:pt idx="7">
                  <c:v>1.5509259259259278E-3</c:v>
                </c:pt>
                <c:pt idx="8">
                  <c:v>1.4467592592592587E-3</c:v>
                </c:pt>
                <c:pt idx="9">
                  <c:v>2.0717592592592593E-3</c:v>
                </c:pt>
                <c:pt idx="10">
                  <c:v>2.3611111111111055E-3</c:v>
                </c:pt>
                <c:pt idx="11">
                  <c:v>2.6851851851851793E-3</c:v>
                </c:pt>
                <c:pt idx="12">
                  <c:v>2.8935185185185175E-3</c:v>
                </c:pt>
                <c:pt idx="13">
                  <c:v>3.2870370370370328E-3</c:v>
                </c:pt>
                <c:pt idx="14">
                  <c:v>3.6342592592592537E-3</c:v>
                </c:pt>
                <c:pt idx="15">
                  <c:v>4.2013888888888795E-3</c:v>
                </c:pt>
              </c:numCache>
            </c:numRef>
          </c:val>
        </c:ser>
        <c:ser>
          <c:idx val="5"/>
          <c:order val="5"/>
          <c:tx>
            <c:strRef>
              <c:f>'Teams by Stage'!$AY$17</c:f>
              <c:strCache>
                <c:ptCount val="1"/>
                <c:pt idx="0">
                  <c:v>The Undeserving Favourites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'Teams by Stage'!$AZ$17:$BO$17</c:f>
              <c:numCache>
                <c:formatCode>m:ss</c:formatCode>
                <c:ptCount val="16"/>
                <c:pt idx="0">
                  <c:v>5.555555555555574E-4</c:v>
                </c:pt>
                <c:pt idx="1">
                  <c:v>1.2615740740740747E-3</c:v>
                </c:pt>
                <c:pt idx="2">
                  <c:v>9.1435185185186063E-4</c:v>
                </c:pt>
                <c:pt idx="3">
                  <c:v>7.4074074074075014E-4</c:v>
                </c:pt>
                <c:pt idx="4">
                  <c:v>5.3240740740740505E-4</c:v>
                </c:pt>
                <c:pt idx="5">
                  <c:v>1.1342592592592654E-3</c:v>
                </c:pt>
                <c:pt idx="6">
                  <c:v>1.7129629629629717E-3</c:v>
                </c:pt>
                <c:pt idx="7">
                  <c:v>1.4583333333333393E-3</c:v>
                </c:pt>
                <c:pt idx="8">
                  <c:v>8.7962962962963298E-4</c:v>
                </c:pt>
                <c:pt idx="9">
                  <c:v>7.5231481481481677E-4</c:v>
                </c:pt>
                <c:pt idx="10">
                  <c:v>1.6435185185185164E-3</c:v>
                </c:pt>
                <c:pt idx="11">
                  <c:v>2.1759259259259284E-3</c:v>
                </c:pt>
                <c:pt idx="12">
                  <c:v>1.2615740740740955E-3</c:v>
                </c:pt>
                <c:pt idx="13">
                  <c:v>5.2083333333335924E-4</c:v>
                </c:pt>
                <c:pt idx="14">
                  <c:v>2.152777777777809E-3</c:v>
                </c:pt>
                <c:pt idx="15">
                  <c:v>1.6435185185185441E-3</c:v>
                </c:pt>
              </c:numCache>
            </c:numRef>
          </c:val>
        </c:ser>
        <c:marker val="1"/>
        <c:axId val="77353728"/>
        <c:axId val="77356032"/>
      </c:lineChart>
      <c:catAx>
        <c:axId val="7735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Stage</a:t>
                </a:r>
              </a:p>
            </c:rich>
          </c:tx>
          <c:layout>
            <c:manualLayout>
              <c:xMode val="edge"/>
              <c:yMode val="edge"/>
              <c:x val="0.43433298862461223"/>
              <c:y val="0.940476190476190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56032"/>
        <c:crosses val="autoZero"/>
        <c:auto val="1"/>
        <c:lblAlgn val="ctr"/>
        <c:lblOffset val="100"/>
        <c:tickLblSkip val="1"/>
        <c:tickMarkSkip val="1"/>
      </c:catAx>
      <c:valAx>
        <c:axId val="773560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Minutes Behind Lead Team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35544217687074831"/>
            </c:manualLayout>
          </c:layout>
          <c:spPr>
            <a:noFill/>
            <a:ln w="25400">
              <a:noFill/>
            </a:ln>
          </c:spPr>
        </c:title>
        <c:numFmt formatCode="m:ss" sourceLinked="1"/>
        <c:maj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53728"/>
        <c:crosses val="autoZero"/>
        <c:crossBetween val="between"/>
        <c:majorUnit val="2.4305555500000009E-3"/>
      </c:valAx>
      <c:spPr>
        <a:gradFill rotWithShape="0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77869700103414"/>
          <c:y val="0.20691609977324263"/>
          <c:w val="0.15408479834539812"/>
          <c:h val="0.50510204081632648"/>
        </c:manualLayout>
      </c:layout>
      <c:spPr>
        <a:solidFill>
          <a:schemeClr val="accent6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1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tabSelected="1" workbookViewId="0"/>
  </sheetViews>
  <sheetFormatPr defaultRowHeight="12.75"/>
  <cols>
    <col min="1" max="1" width="3.42578125" style="120" customWidth="1"/>
    <col min="2" max="2" width="48.7109375" style="121" bestFit="1" customWidth="1"/>
    <col min="3" max="3" width="4.7109375" style="121" customWidth="1"/>
    <col min="4" max="4" width="20.7109375" style="120" customWidth="1"/>
    <col min="5" max="5" width="4.7109375" style="121" customWidth="1"/>
    <col min="6" max="6" width="20.7109375" style="120" customWidth="1"/>
    <col min="7" max="7" width="4.7109375" style="121" customWidth="1"/>
    <col min="8" max="8" width="20.7109375" style="120" customWidth="1"/>
    <col min="9" max="9" width="4.7109375" style="121" customWidth="1"/>
    <col min="10" max="10" width="20.7109375" style="120" customWidth="1"/>
    <col min="11" max="11" width="17.42578125" style="120" customWidth="1"/>
    <col min="12" max="16" width="9.140625" style="120"/>
    <col min="17" max="16384" width="9.140625" style="122"/>
  </cols>
  <sheetData>
    <row r="1" spans="1:16" s="123" customFormat="1">
      <c r="A1" s="27"/>
      <c r="B1" s="28"/>
      <c r="C1" s="28"/>
      <c r="D1" s="27"/>
      <c r="E1" s="28"/>
      <c r="F1" s="27"/>
      <c r="G1" s="28"/>
      <c r="H1" s="27"/>
      <c r="I1" s="28"/>
      <c r="J1" s="27"/>
      <c r="K1" s="27"/>
      <c r="L1" s="27"/>
      <c r="M1" s="27"/>
      <c r="N1" s="27"/>
      <c r="O1" s="27"/>
      <c r="P1" s="27"/>
    </row>
    <row r="2" spans="1:16" s="124" customFormat="1" ht="20.100000000000001" customHeight="1">
      <c r="A2" s="33"/>
      <c r="B2" s="35" t="s">
        <v>44</v>
      </c>
      <c r="C2" s="36" t="s">
        <v>4</v>
      </c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135" t="s">
        <v>48</v>
      </c>
      <c r="L2" s="33"/>
      <c r="M2" s="33"/>
      <c r="N2" s="33"/>
      <c r="O2" s="33"/>
      <c r="P2" s="33"/>
    </row>
    <row r="3" spans="1:16" s="125" customFormat="1" ht="18.75" customHeight="1">
      <c r="A3" s="34"/>
      <c r="B3" s="138" t="s">
        <v>75</v>
      </c>
      <c r="C3" s="134">
        <v>1</v>
      </c>
      <c r="D3" s="38" t="str">
        <f>VLOOKUP(C3,$I$12:$J$35,2,FALSE)</f>
        <v>Andrew Coles</v>
      </c>
      <c r="E3" s="37">
        <v>11</v>
      </c>
      <c r="F3" s="38" t="str">
        <f>VLOOKUP(E3,$I$12:$J$47,2,FALSE)</f>
        <v>David Mellings</v>
      </c>
      <c r="G3" s="37">
        <v>12</v>
      </c>
      <c r="H3" s="38" t="str">
        <f>VLOOKUP(G3,$I$12:$J$47,2,FALSE)</f>
        <v>Glenn Goodman</v>
      </c>
      <c r="I3" s="37">
        <v>24</v>
      </c>
      <c r="J3" s="38" t="str">
        <f>VLOOKUP(I3,$I$12:$J$47,2,FALSE)</f>
        <v>Franky Reid</v>
      </c>
      <c r="K3" s="136">
        <f t="shared" ref="K3:K8" si="0">+C3+E3+G3+I3</f>
        <v>48</v>
      </c>
      <c r="L3" s="33"/>
      <c r="M3" s="34"/>
      <c r="N3" s="34"/>
      <c r="O3" s="34"/>
      <c r="P3" s="34"/>
    </row>
    <row r="4" spans="1:16" s="125" customFormat="1" ht="18.75" customHeight="1">
      <c r="A4" s="34"/>
      <c r="B4" s="138" t="s">
        <v>76</v>
      </c>
      <c r="C4" s="134">
        <v>2</v>
      </c>
      <c r="D4" s="38" t="str">
        <f>VLOOKUP(C4,$I$12:$J$47,2,FALSE)</f>
        <v>Joji Mori</v>
      </c>
      <c r="E4" s="37">
        <v>13</v>
      </c>
      <c r="F4" s="38" t="str">
        <f>VLOOKUP(E4,$I$12:$J$47,2,FALSE)</f>
        <v>Kate Seibold</v>
      </c>
      <c r="G4" s="37">
        <v>14</v>
      </c>
      <c r="H4" s="38" t="str">
        <f>VLOOKUP(G4,$I$12:$J$47,2,FALSE)</f>
        <v>Tony Hally</v>
      </c>
      <c r="I4" s="37">
        <v>23</v>
      </c>
      <c r="J4" s="38" t="str">
        <f>VLOOKUP(I4,$I$12:$J$47,2,FALSE)</f>
        <v>Robyn Fletcher</v>
      </c>
      <c r="K4" s="136">
        <f t="shared" si="0"/>
        <v>52</v>
      </c>
      <c r="L4" s="33"/>
      <c r="M4" s="34"/>
      <c r="N4" s="34"/>
      <c r="O4" s="34"/>
      <c r="P4" s="34"/>
    </row>
    <row r="5" spans="1:16" s="125" customFormat="1" ht="18.75" customHeight="1">
      <c r="A5" s="34"/>
      <c r="B5" s="138" t="s">
        <v>77</v>
      </c>
      <c r="C5" s="134">
        <v>3</v>
      </c>
      <c r="D5" s="38" t="str">
        <f>VLOOKUP(C5,$I$12:$J$47,2,FALSE)</f>
        <v>Paul Munro</v>
      </c>
      <c r="E5" s="37">
        <v>10</v>
      </c>
      <c r="F5" s="38" t="str">
        <f>VLOOKUP(E5,$I$12:$J$47,2,FALSE)</f>
        <v>Mark Stodden</v>
      </c>
      <c r="G5" s="37">
        <v>15</v>
      </c>
      <c r="H5" s="38" t="str">
        <f>VLOOKUP(G5,$I$12:$J$47,2,FALSE)</f>
        <v>Ewen Vowels</v>
      </c>
      <c r="I5" s="37">
        <v>20</v>
      </c>
      <c r="J5" s="38" t="str">
        <f>VLOOKUP(I5,$I$12:$J$47,2,FALSE)</f>
        <v>James Chiriano</v>
      </c>
      <c r="K5" s="136">
        <f t="shared" si="0"/>
        <v>48</v>
      </c>
      <c r="L5" s="33"/>
      <c r="M5" s="34"/>
      <c r="N5" s="34"/>
      <c r="O5" s="34"/>
      <c r="P5" s="34"/>
    </row>
    <row r="6" spans="1:16" s="125" customFormat="1" ht="18.75" customHeight="1">
      <c r="A6" s="34"/>
      <c r="B6" s="138" t="s">
        <v>78</v>
      </c>
      <c r="C6" s="134">
        <v>4</v>
      </c>
      <c r="D6" s="38" t="str">
        <f>VLOOKUP(C6,$I$12:$J$47,2,FALSE)</f>
        <v>Simon Bevege</v>
      </c>
      <c r="E6" s="37">
        <v>9</v>
      </c>
      <c r="F6" s="38" t="str">
        <f>VLOOKUP(E6,$I$12:$J$47,2,FALSE)</f>
        <v>Anthony Mithen</v>
      </c>
      <c r="G6" s="37">
        <v>16</v>
      </c>
      <c r="H6" s="38" t="str">
        <f>VLOOKUP(G6,$I$12:$J$47,2,FALSE)</f>
        <v>Dale Nardella</v>
      </c>
      <c r="I6" s="37">
        <v>21</v>
      </c>
      <c r="J6" s="38" t="str">
        <f>VLOOKUP(I6,$I$12:$J$47,2,FALSE)</f>
        <v>Ross Prickett</v>
      </c>
      <c r="K6" s="136">
        <f t="shared" si="0"/>
        <v>50</v>
      </c>
      <c r="L6" s="137"/>
      <c r="M6" s="34"/>
      <c r="N6" s="34"/>
      <c r="O6" s="34"/>
      <c r="P6" s="34"/>
    </row>
    <row r="7" spans="1:16" s="125" customFormat="1" ht="18.75" customHeight="1">
      <c r="A7" s="34"/>
      <c r="B7" s="138" t="s">
        <v>79</v>
      </c>
      <c r="C7" s="134">
        <v>5</v>
      </c>
      <c r="D7" s="38" t="str">
        <f>VLOOKUP(C7,$I$12:$J$47,2,FALSE)</f>
        <v>David Venour</v>
      </c>
      <c r="E7" s="37">
        <v>8</v>
      </c>
      <c r="F7" s="38" t="str">
        <f>VLOOKUP(E7,$I$12:$J$47,2,FALSE)</f>
        <v>Glenn Carroll</v>
      </c>
      <c r="G7" s="37">
        <v>17</v>
      </c>
      <c r="H7" s="38" t="str">
        <f>VLOOKUP(G7,$I$12:$J$47,2,FALSE)</f>
        <v>Chris Osborne</v>
      </c>
      <c r="I7" s="37">
        <v>22</v>
      </c>
      <c r="J7" s="38" t="str">
        <f>VLOOKUP(I7,$I$12:$J$47,2,FALSE)</f>
        <v>Martin Duchovny</v>
      </c>
      <c r="K7" s="136">
        <f t="shared" si="0"/>
        <v>52</v>
      </c>
      <c r="L7" s="33"/>
      <c r="M7" s="34"/>
      <c r="N7" s="34"/>
      <c r="O7" s="34"/>
      <c r="P7" s="34"/>
    </row>
    <row r="8" spans="1:16" s="125" customFormat="1" ht="18.75" customHeight="1">
      <c r="A8" s="34"/>
      <c r="B8" s="138" t="s">
        <v>80</v>
      </c>
      <c r="C8" s="134">
        <v>6</v>
      </c>
      <c r="D8" s="38" t="str">
        <f>VLOOKUP(C8,$I$12:$J$47,2,FALSE)</f>
        <v>Stephen Paine</v>
      </c>
      <c r="E8" s="37">
        <v>7</v>
      </c>
      <c r="F8" s="38" t="str">
        <f>VLOOKUP(E8,$I$12:$J$47,2,FALSE)</f>
        <v>Richard Does</v>
      </c>
      <c r="G8" s="37">
        <v>18</v>
      </c>
      <c r="H8" s="38" t="str">
        <f>VLOOKUP(G8,$I$12:$J$47,2,FALSE)</f>
        <v>Robyn Millard</v>
      </c>
      <c r="I8" s="37">
        <v>19</v>
      </c>
      <c r="J8" s="38" t="str">
        <f>VLOOKUP(I8,$I$12:$J$47,2,FALSE)</f>
        <v>Rory Heddles</v>
      </c>
      <c r="K8" s="136">
        <f t="shared" si="0"/>
        <v>50</v>
      </c>
      <c r="L8" s="33"/>
      <c r="M8" s="34"/>
      <c r="N8" s="34"/>
      <c r="O8" s="34"/>
      <c r="P8" s="34"/>
    </row>
    <row r="9" spans="1:16">
      <c r="A9" s="29"/>
      <c r="B9" s="39"/>
      <c r="C9" s="29"/>
      <c r="D9" s="29"/>
      <c r="E9" s="31"/>
      <c r="F9" s="29"/>
      <c r="G9" s="31"/>
      <c r="H9" s="29"/>
      <c r="I9" s="31"/>
      <c r="J9" s="29"/>
      <c r="K9" s="29"/>
      <c r="L9" s="29"/>
      <c r="M9" s="29"/>
      <c r="N9" s="29"/>
      <c r="O9" s="29"/>
      <c r="P9" s="29"/>
    </row>
    <row r="10" spans="1:16">
      <c r="A10" s="29"/>
      <c r="B10" s="39"/>
      <c r="C10" s="29"/>
      <c r="D10" s="29"/>
      <c r="E10" s="31"/>
      <c r="F10" s="29"/>
      <c r="G10" s="31"/>
      <c r="H10" s="29"/>
      <c r="I10" s="31"/>
      <c r="J10" s="29"/>
      <c r="K10" s="29"/>
      <c r="L10" s="29"/>
      <c r="M10" s="29"/>
      <c r="N10" s="29"/>
      <c r="O10" s="29"/>
      <c r="P10" s="29"/>
    </row>
    <row r="11" spans="1:16">
      <c r="A11" s="29"/>
      <c r="B11" s="39"/>
      <c r="C11" s="29"/>
      <c r="D11" s="29"/>
      <c r="E11" s="31"/>
      <c r="F11" s="29"/>
      <c r="G11" s="31"/>
      <c r="H11" s="29"/>
      <c r="I11" s="169" t="s">
        <v>47</v>
      </c>
      <c r="J11" s="169"/>
      <c r="K11" s="29"/>
      <c r="L11" s="29"/>
      <c r="M11" s="29"/>
      <c r="N11" s="29"/>
      <c r="O11" s="29"/>
      <c r="P11" s="29"/>
    </row>
    <row r="12" spans="1:16">
      <c r="A12" s="29"/>
      <c r="B12" s="39"/>
      <c r="C12" s="29"/>
      <c r="D12" s="29"/>
      <c r="E12" s="31"/>
      <c r="F12" s="29"/>
      <c r="G12" s="31"/>
      <c r="H12" s="29"/>
      <c r="I12" s="159">
        <v>1</v>
      </c>
      <c r="J12" s="160" t="s">
        <v>56</v>
      </c>
      <c r="K12" s="29"/>
      <c r="L12" s="29"/>
      <c r="M12" s="29"/>
      <c r="N12" s="29"/>
      <c r="O12" s="29"/>
      <c r="P12" s="29"/>
    </row>
    <row r="13" spans="1:16">
      <c r="A13" s="29"/>
      <c r="B13" s="39"/>
      <c r="C13" s="29"/>
      <c r="D13" s="29"/>
      <c r="E13" s="31"/>
      <c r="F13" s="29"/>
      <c r="G13" s="31"/>
      <c r="H13" s="29"/>
      <c r="I13" s="159">
        <v>2</v>
      </c>
      <c r="J13" s="160" t="s">
        <v>61</v>
      </c>
      <c r="K13" s="29"/>
      <c r="L13" s="29"/>
      <c r="M13" s="29"/>
      <c r="N13" s="29"/>
      <c r="O13" s="29"/>
      <c r="P13" s="29"/>
    </row>
    <row r="14" spans="1:16">
      <c r="A14" s="29"/>
      <c r="B14" s="39"/>
      <c r="C14" s="29"/>
      <c r="D14" s="29"/>
      <c r="E14" s="31"/>
      <c r="F14" s="29"/>
      <c r="G14" s="31"/>
      <c r="H14" s="29"/>
      <c r="I14" s="159">
        <v>3</v>
      </c>
      <c r="J14" s="160" t="s">
        <v>62</v>
      </c>
      <c r="K14" s="29"/>
      <c r="L14" s="29"/>
      <c r="M14" s="29"/>
      <c r="N14" s="29"/>
      <c r="O14" s="29"/>
      <c r="P14" s="29"/>
    </row>
    <row r="15" spans="1:16">
      <c r="A15" s="29"/>
      <c r="B15" s="39"/>
      <c r="C15" s="29"/>
      <c r="D15" s="29"/>
      <c r="E15" s="31"/>
      <c r="F15" s="29"/>
      <c r="G15" s="31"/>
      <c r="H15" s="29"/>
      <c r="I15" s="159">
        <v>4</v>
      </c>
      <c r="J15" s="160" t="s">
        <v>54</v>
      </c>
      <c r="K15" s="29"/>
      <c r="L15" s="29"/>
      <c r="M15" s="29"/>
      <c r="N15" s="29"/>
      <c r="O15" s="29"/>
      <c r="P15" s="29"/>
    </row>
    <row r="16" spans="1:16">
      <c r="A16" s="29"/>
      <c r="B16" s="39"/>
      <c r="C16" s="29"/>
      <c r="D16" s="29"/>
      <c r="E16" s="31"/>
      <c r="F16" s="29"/>
      <c r="G16" s="31"/>
      <c r="H16" s="29"/>
      <c r="I16" s="159">
        <v>5</v>
      </c>
      <c r="J16" s="160" t="s">
        <v>45</v>
      </c>
      <c r="K16" s="29"/>
      <c r="L16" s="29"/>
      <c r="M16" s="29"/>
      <c r="N16" s="29"/>
      <c r="O16" s="29"/>
      <c r="P16" s="29"/>
    </row>
    <row r="17" spans="1:16">
      <c r="A17" s="29"/>
      <c r="B17" s="39"/>
      <c r="C17" s="29"/>
      <c r="D17" s="29"/>
      <c r="E17" s="31"/>
      <c r="F17" s="29"/>
      <c r="G17" s="31"/>
      <c r="H17" s="29"/>
      <c r="I17" s="159">
        <v>6</v>
      </c>
      <c r="J17" s="160" t="s">
        <v>49</v>
      </c>
      <c r="K17" s="29"/>
      <c r="L17" s="29"/>
      <c r="M17" s="29"/>
      <c r="N17" s="29"/>
      <c r="O17" s="29"/>
      <c r="P17" s="29"/>
    </row>
    <row r="18" spans="1:16">
      <c r="A18" s="29"/>
      <c r="B18" s="39"/>
      <c r="C18" s="29"/>
      <c r="D18" s="29"/>
      <c r="E18" s="31"/>
      <c r="F18" s="29"/>
      <c r="G18" s="31"/>
      <c r="H18" s="29"/>
      <c r="I18" s="159">
        <v>7</v>
      </c>
      <c r="J18" s="160" t="s">
        <v>63</v>
      </c>
      <c r="K18" s="29"/>
      <c r="L18" s="29"/>
      <c r="M18" s="29"/>
      <c r="N18" s="29"/>
      <c r="O18" s="29"/>
      <c r="P18" s="29"/>
    </row>
    <row r="19" spans="1:16">
      <c r="A19" s="29"/>
      <c r="B19" s="39"/>
      <c r="C19" s="29"/>
      <c r="D19" s="29"/>
      <c r="E19" s="31"/>
      <c r="F19" s="29"/>
      <c r="G19" s="31"/>
      <c r="H19" s="29"/>
      <c r="I19" s="159">
        <v>8</v>
      </c>
      <c r="J19" s="160" t="s">
        <v>64</v>
      </c>
      <c r="K19" s="29"/>
      <c r="L19" s="29"/>
      <c r="M19" s="29"/>
      <c r="N19" s="29"/>
      <c r="O19" s="29"/>
      <c r="P19" s="29"/>
    </row>
    <row r="20" spans="1:16">
      <c r="A20" s="29"/>
      <c r="B20" s="39"/>
      <c r="C20" s="29"/>
      <c r="D20" s="29"/>
      <c r="E20" s="31"/>
      <c r="F20" s="29"/>
      <c r="G20" s="31"/>
      <c r="H20" s="29"/>
      <c r="I20" s="159">
        <v>9</v>
      </c>
      <c r="J20" s="160" t="s">
        <v>65</v>
      </c>
      <c r="K20" s="29"/>
      <c r="L20" s="29"/>
      <c r="M20" s="29"/>
      <c r="N20" s="29"/>
      <c r="O20" s="29"/>
      <c r="P20" s="29"/>
    </row>
    <row r="21" spans="1:16">
      <c r="A21" s="29"/>
      <c r="B21" s="39"/>
      <c r="C21" s="29"/>
      <c r="D21" s="29"/>
      <c r="E21" s="31"/>
      <c r="F21" s="29"/>
      <c r="G21" s="31"/>
      <c r="H21" s="29"/>
      <c r="I21" s="159">
        <v>10</v>
      </c>
      <c r="J21" s="160" t="s">
        <v>66</v>
      </c>
      <c r="K21" s="29"/>
      <c r="L21" s="29"/>
      <c r="M21" s="29"/>
      <c r="N21" s="29"/>
      <c r="O21" s="29"/>
      <c r="P21" s="29"/>
    </row>
    <row r="22" spans="1:16">
      <c r="A22" s="29"/>
      <c r="B22" s="39"/>
      <c r="C22" s="29"/>
      <c r="D22" s="29"/>
      <c r="E22" s="31"/>
      <c r="F22" s="29"/>
      <c r="G22" s="31"/>
      <c r="H22" s="29"/>
      <c r="I22" s="159">
        <v>11</v>
      </c>
      <c r="J22" s="160" t="s">
        <v>67</v>
      </c>
      <c r="K22" s="29"/>
      <c r="L22" s="29"/>
      <c r="M22" s="29"/>
      <c r="N22" s="29"/>
      <c r="O22" s="29"/>
      <c r="P22" s="29"/>
    </row>
    <row r="23" spans="1:16">
      <c r="A23" s="29"/>
      <c r="B23" s="39"/>
      <c r="C23" s="29"/>
      <c r="D23" s="29"/>
      <c r="E23" s="31"/>
      <c r="F23" s="29"/>
      <c r="G23" s="31"/>
      <c r="H23" s="29"/>
      <c r="I23" s="159">
        <v>12</v>
      </c>
      <c r="J23" s="160" t="s">
        <v>50</v>
      </c>
      <c r="K23" s="29"/>
      <c r="L23" s="29"/>
      <c r="M23" s="29"/>
      <c r="N23" s="29"/>
      <c r="O23" s="29"/>
      <c r="P23" s="29"/>
    </row>
    <row r="24" spans="1:16">
      <c r="A24" s="29"/>
      <c r="B24" s="30"/>
      <c r="C24" s="31"/>
      <c r="D24" s="29"/>
      <c r="E24" s="31"/>
      <c r="F24" s="29"/>
      <c r="G24" s="31"/>
      <c r="H24" s="29"/>
      <c r="I24" s="159">
        <v>13</v>
      </c>
      <c r="J24" s="160" t="s">
        <v>59</v>
      </c>
      <c r="K24" s="29"/>
      <c r="L24" s="29"/>
      <c r="M24" s="29"/>
      <c r="N24" s="29"/>
      <c r="O24" s="29"/>
      <c r="P24" s="29"/>
    </row>
    <row r="25" spans="1:16">
      <c r="A25" s="29"/>
      <c r="B25" s="30"/>
      <c r="C25" s="31"/>
      <c r="D25" s="29"/>
      <c r="E25" s="31"/>
      <c r="F25" s="29"/>
      <c r="G25" s="31"/>
      <c r="H25" s="29"/>
      <c r="I25" s="159">
        <v>14</v>
      </c>
      <c r="J25" s="160" t="s">
        <v>57</v>
      </c>
      <c r="K25" s="29"/>
      <c r="L25" s="29"/>
      <c r="M25" s="29"/>
      <c r="N25" s="29"/>
      <c r="O25" s="29"/>
      <c r="P25" s="29"/>
    </row>
    <row r="26" spans="1:16">
      <c r="A26" s="29"/>
      <c r="B26" s="30"/>
      <c r="C26" s="31"/>
      <c r="D26" s="29"/>
      <c r="E26" s="31"/>
      <c r="F26" s="29"/>
      <c r="G26" s="31"/>
      <c r="H26" s="29"/>
      <c r="I26" s="159">
        <v>15</v>
      </c>
      <c r="J26" s="160" t="s">
        <v>60</v>
      </c>
      <c r="K26" s="29"/>
      <c r="L26" s="29"/>
      <c r="M26" s="29"/>
      <c r="N26" s="29"/>
      <c r="O26" s="29"/>
      <c r="P26" s="29"/>
    </row>
    <row r="27" spans="1:16">
      <c r="A27" s="29"/>
      <c r="B27" s="31"/>
      <c r="C27" s="31"/>
      <c r="D27" s="29"/>
      <c r="E27" s="31"/>
      <c r="F27" s="29"/>
      <c r="G27" s="31"/>
      <c r="H27" s="29"/>
      <c r="I27" s="159">
        <v>16</v>
      </c>
      <c r="J27" s="160" t="s">
        <v>55</v>
      </c>
      <c r="K27" s="29"/>
      <c r="L27" s="29"/>
      <c r="M27" s="29"/>
      <c r="N27" s="29"/>
      <c r="O27" s="29"/>
      <c r="P27" s="29"/>
    </row>
    <row r="28" spans="1:16">
      <c r="A28" s="29"/>
      <c r="B28" s="31"/>
      <c r="C28" s="31"/>
      <c r="D28" s="29"/>
      <c r="E28" s="31"/>
      <c r="F28" s="29"/>
      <c r="G28" s="31"/>
      <c r="H28" s="29"/>
      <c r="I28" s="159">
        <v>17</v>
      </c>
      <c r="J28" s="160" t="s">
        <v>68</v>
      </c>
      <c r="K28" s="29"/>
      <c r="L28" s="29"/>
      <c r="M28" s="29"/>
      <c r="N28" s="29"/>
      <c r="O28" s="29"/>
      <c r="P28" s="29"/>
    </row>
    <row r="29" spans="1:16">
      <c r="A29" s="29"/>
      <c r="B29" s="31"/>
      <c r="C29" s="31"/>
      <c r="D29" s="29"/>
      <c r="E29" s="31"/>
      <c r="F29" s="29"/>
      <c r="G29" s="31"/>
      <c r="H29" s="29"/>
      <c r="I29" s="159">
        <v>18</v>
      </c>
      <c r="J29" s="160" t="s">
        <v>69</v>
      </c>
      <c r="K29" s="29"/>
      <c r="L29" s="29"/>
      <c r="M29" s="29"/>
      <c r="N29" s="29"/>
      <c r="O29" s="29"/>
      <c r="P29" s="29"/>
    </row>
    <row r="30" spans="1:16">
      <c r="A30" s="29"/>
      <c r="B30" s="31"/>
      <c r="C30" s="31"/>
      <c r="D30" s="29"/>
      <c r="E30" s="31"/>
      <c r="F30" s="29"/>
      <c r="G30" s="31"/>
      <c r="H30" s="29"/>
      <c r="I30" s="159">
        <v>19</v>
      </c>
      <c r="J30" s="160" t="s">
        <v>58</v>
      </c>
      <c r="K30" s="29"/>
      <c r="L30" s="29"/>
      <c r="M30" s="29"/>
      <c r="N30" s="29"/>
      <c r="O30" s="29"/>
      <c r="P30" s="29"/>
    </row>
    <row r="31" spans="1:16">
      <c r="A31" s="29"/>
      <c r="B31" s="31"/>
      <c r="C31" s="31"/>
      <c r="D31" s="32"/>
      <c r="E31" s="31"/>
      <c r="F31" s="32"/>
      <c r="G31" s="31"/>
      <c r="H31" s="29"/>
      <c r="I31" s="159">
        <v>20</v>
      </c>
      <c r="J31" s="160" t="s">
        <v>70</v>
      </c>
      <c r="K31" s="29"/>
      <c r="L31" s="29"/>
      <c r="M31" s="29"/>
      <c r="N31" s="29"/>
      <c r="O31" s="29"/>
      <c r="P31" s="29"/>
    </row>
    <row r="32" spans="1:16">
      <c r="A32" s="29"/>
      <c r="B32" s="31"/>
      <c r="C32" s="31"/>
      <c r="D32" s="32"/>
      <c r="E32" s="31"/>
      <c r="F32" s="32"/>
      <c r="G32" s="31"/>
      <c r="H32" s="29"/>
      <c r="I32" s="159">
        <v>21</v>
      </c>
      <c r="J32" s="160" t="s">
        <v>71</v>
      </c>
      <c r="K32" s="29"/>
      <c r="L32" s="29"/>
      <c r="M32" s="29"/>
      <c r="N32" s="29"/>
      <c r="O32" s="29"/>
      <c r="P32" s="29"/>
    </row>
    <row r="33" spans="1:16">
      <c r="A33" s="29"/>
      <c r="B33" s="31"/>
      <c r="C33" s="31"/>
      <c r="D33" s="32"/>
      <c r="E33" s="31"/>
      <c r="F33" s="32"/>
      <c r="G33" s="31"/>
      <c r="H33" s="29"/>
      <c r="I33" s="159">
        <v>22</v>
      </c>
      <c r="J33" s="160" t="s">
        <v>72</v>
      </c>
      <c r="K33" s="29"/>
      <c r="L33" s="29"/>
      <c r="M33" s="29"/>
      <c r="N33" s="29"/>
      <c r="O33" s="29"/>
      <c r="P33" s="29"/>
    </row>
    <row r="34" spans="1:16">
      <c r="A34" s="29"/>
      <c r="B34" s="31"/>
      <c r="C34" s="31"/>
      <c r="D34" s="32"/>
      <c r="E34" s="31"/>
      <c r="F34" s="32"/>
      <c r="G34" s="31"/>
      <c r="H34" s="29"/>
      <c r="I34" s="159">
        <v>23</v>
      </c>
      <c r="J34" s="160" t="s">
        <v>73</v>
      </c>
      <c r="K34" s="29"/>
      <c r="L34" s="29"/>
      <c r="M34" s="29"/>
      <c r="N34" s="29"/>
      <c r="O34" s="29"/>
      <c r="P34" s="29"/>
    </row>
    <row r="35" spans="1:16">
      <c r="A35" s="29"/>
      <c r="B35" s="31"/>
      <c r="C35" s="31"/>
      <c r="D35" s="32"/>
      <c r="E35" s="31"/>
      <c r="F35" s="32"/>
      <c r="G35" s="31"/>
      <c r="H35" s="29"/>
      <c r="I35" s="159">
        <v>24</v>
      </c>
      <c r="J35" s="160" t="s">
        <v>74</v>
      </c>
      <c r="K35" s="29"/>
      <c r="L35" s="29"/>
      <c r="M35" s="29"/>
      <c r="N35" s="29"/>
      <c r="O35" s="29"/>
      <c r="P35" s="29"/>
    </row>
    <row r="36" spans="1:16">
      <c r="A36" s="29"/>
      <c r="B36" s="31"/>
      <c r="C36" s="31"/>
      <c r="D36" s="32"/>
      <c r="E36" s="31"/>
      <c r="F36" s="32"/>
      <c r="G36" s="31"/>
      <c r="H36" s="29"/>
      <c r="I36" s="159"/>
      <c r="J36" s="160"/>
      <c r="K36" s="29"/>
      <c r="L36" s="29"/>
      <c r="M36" s="29"/>
      <c r="N36" s="29"/>
      <c r="O36" s="29"/>
      <c r="P36" s="29"/>
    </row>
    <row r="37" spans="1:16">
      <c r="A37" s="29"/>
      <c r="B37" s="31"/>
      <c r="C37" s="31"/>
      <c r="D37" s="29"/>
      <c r="E37" s="31"/>
      <c r="F37" s="29"/>
      <c r="G37" s="31"/>
      <c r="H37" s="29"/>
      <c r="I37" s="159"/>
      <c r="J37" s="160"/>
      <c r="K37" s="29"/>
      <c r="L37" s="29"/>
      <c r="M37" s="29"/>
      <c r="N37" s="29"/>
      <c r="O37" s="29"/>
      <c r="P37" s="29"/>
    </row>
    <row r="38" spans="1:16">
      <c r="A38" s="29"/>
      <c r="B38" s="31"/>
      <c r="C38" s="31"/>
      <c r="D38" s="29"/>
      <c r="E38" s="31"/>
      <c r="F38" s="29"/>
      <c r="G38" s="31"/>
      <c r="H38" s="29"/>
      <c r="I38" s="159"/>
      <c r="J38" s="160"/>
      <c r="K38" s="29"/>
      <c r="L38" s="29"/>
      <c r="M38" s="29"/>
      <c r="N38" s="29"/>
      <c r="O38" s="29"/>
      <c r="P38" s="29"/>
    </row>
    <row r="39" spans="1:16">
      <c r="A39" s="29"/>
      <c r="B39" s="31"/>
      <c r="C39" s="31"/>
      <c r="D39" s="29"/>
      <c r="E39" s="31"/>
      <c r="F39" s="29"/>
      <c r="G39" s="31"/>
      <c r="H39" s="29"/>
      <c r="I39" s="159"/>
      <c r="J39" s="160"/>
      <c r="K39" s="29"/>
      <c r="L39" s="29"/>
      <c r="M39" s="29"/>
      <c r="N39" s="29"/>
      <c r="O39" s="29"/>
      <c r="P39" s="29"/>
    </row>
    <row r="40" spans="1:16">
      <c r="A40" s="29"/>
      <c r="B40" s="31"/>
      <c r="C40" s="31"/>
      <c r="D40" s="29"/>
      <c r="E40" s="31"/>
      <c r="F40" s="29"/>
      <c r="G40" s="31"/>
      <c r="H40" s="29"/>
      <c r="I40" s="40"/>
      <c r="J40" s="41"/>
      <c r="K40" s="29"/>
      <c r="L40" s="29"/>
      <c r="M40" s="29"/>
      <c r="N40" s="29"/>
      <c r="O40" s="29"/>
      <c r="P40" s="29"/>
    </row>
    <row r="41" spans="1:16">
      <c r="A41" s="29"/>
      <c r="B41" s="31"/>
      <c r="C41" s="31"/>
      <c r="D41" s="29"/>
      <c r="E41" s="31"/>
      <c r="F41" s="29"/>
      <c r="G41" s="31"/>
      <c r="H41" s="29"/>
      <c r="I41" s="40"/>
      <c r="J41" s="150"/>
      <c r="K41" s="29"/>
      <c r="L41" s="29"/>
      <c r="M41" s="29"/>
      <c r="N41" s="29"/>
      <c r="O41" s="29"/>
      <c r="P41" s="29"/>
    </row>
    <row r="42" spans="1:16">
      <c r="A42" s="29"/>
      <c r="B42" s="31"/>
      <c r="C42" s="31"/>
      <c r="D42" s="29"/>
      <c r="E42" s="31"/>
      <c r="F42" s="29"/>
      <c r="G42" s="31"/>
      <c r="H42" s="29"/>
      <c r="I42" s="40"/>
      <c r="J42" s="150"/>
      <c r="K42" s="150"/>
      <c r="L42" s="29"/>
      <c r="M42" s="29"/>
      <c r="N42" s="29"/>
      <c r="O42" s="29"/>
      <c r="P42" s="29"/>
    </row>
    <row r="43" spans="1:16">
      <c r="A43" s="29"/>
      <c r="B43" s="31"/>
      <c r="C43" s="31"/>
      <c r="D43" s="29"/>
      <c r="E43" s="31"/>
      <c r="F43" s="29"/>
      <c r="G43" s="31"/>
      <c r="H43" s="29"/>
      <c r="I43" s="40"/>
      <c r="J43" s="150"/>
      <c r="K43" s="150"/>
      <c r="L43" s="29"/>
      <c r="M43" s="29"/>
      <c r="N43" s="29"/>
      <c r="O43" s="29"/>
      <c r="P43" s="29"/>
    </row>
    <row r="44" spans="1:16">
      <c r="I44" s="120"/>
    </row>
    <row r="45" spans="1:16">
      <c r="I45" s="120"/>
    </row>
    <row r="46" spans="1:16">
      <c r="I46" s="120"/>
    </row>
    <row r="47" spans="1:16">
      <c r="I47" s="120"/>
    </row>
  </sheetData>
  <mergeCells count="1">
    <mergeCell ref="I11:J11"/>
  </mergeCells>
  <phoneticPr fontId="0" type="noConversion"/>
  <dataValidations xWindow="651" yWindow="290" count="2">
    <dataValidation type="list" allowBlank="1" showInputMessage="1" showErrorMessage="1" promptTitle="Select Runner" prompt="from list" sqref="J10">
      <formula1>$D$10:$D$27</formula1>
    </dataValidation>
    <dataValidation type="list" allowBlank="1" showInputMessage="1" showErrorMessage="1" promptTitle="Select Runner" prompt="from list" sqref="J11">
      <formula1>$D$13:$D$29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H84"/>
  <sheetViews>
    <sheetView zoomScale="75" workbookViewId="0">
      <pane xSplit="7" topLeftCell="H1" activePane="topRight" state="frozen"/>
      <selection pane="topRight"/>
    </sheetView>
  </sheetViews>
  <sheetFormatPr defaultRowHeight="12.75"/>
  <cols>
    <col min="1" max="1" width="29.7109375" style="54" bestFit="1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6.42578125" style="60" bestFit="1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6.42578125" style="60" bestFit="1" customWidth="1"/>
    <col min="15" max="15" width="5.7109375" style="57" customWidth="1"/>
    <col min="16" max="16" width="5.7109375" style="59" customWidth="1"/>
    <col min="17" max="17" width="1.7109375" style="57" customWidth="1"/>
    <col min="18" max="18" width="15.7109375" style="57" customWidth="1"/>
    <col min="19" max="19" width="6.42578125" style="60" bestFit="1" customWidth="1"/>
    <col min="20" max="20" width="5.7109375" style="57" customWidth="1"/>
    <col min="21" max="21" width="5.7109375" style="59" customWidth="1"/>
    <col min="22" max="22" width="1.7109375" style="57" customWidth="1"/>
    <col min="23" max="23" width="15.7109375" style="57" customWidth="1"/>
    <col min="24" max="24" width="6.42578125" style="60" bestFit="1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6.42578125" style="60" bestFit="1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6.42578125" style="60" bestFit="1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6.42578125" style="60" bestFit="1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6.4257812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2" width="1.7109375" style="57" customWidth="1"/>
    <col min="53" max="53" width="16.7109375" style="57" customWidth="1"/>
    <col min="54" max="54" width="6.7109375" style="60" customWidth="1"/>
    <col min="55" max="55" width="6.7109375" style="57" customWidth="1"/>
    <col min="56" max="56" width="6.7109375" style="59" customWidth="1"/>
    <col min="57" max="57" width="1.7109375" style="57" customWidth="1"/>
    <col min="58" max="58" width="16.7109375" style="57" customWidth="1"/>
    <col min="59" max="59" width="6.7109375" style="60" customWidth="1"/>
    <col min="60" max="60" width="6.7109375" style="57" customWidth="1"/>
    <col min="61" max="61" width="6.7109375" style="59" customWidth="1"/>
    <col min="62" max="62" width="1.7109375" style="57" customWidth="1"/>
    <col min="63" max="63" width="16.7109375" style="57" customWidth="1"/>
    <col min="64" max="64" width="6.7109375" style="60" customWidth="1"/>
    <col min="65" max="65" width="6.7109375" style="57" customWidth="1"/>
    <col min="66" max="66" width="6.7109375" style="59" customWidth="1"/>
    <col min="67" max="67" width="1.7109375" style="57" customWidth="1"/>
    <col min="68" max="68" width="16.7109375" style="57" customWidth="1"/>
    <col min="69" max="69" width="6.7109375" style="60" customWidth="1"/>
    <col min="70" max="70" width="6.7109375" style="57" customWidth="1"/>
    <col min="71" max="71" width="6.7109375" style="59" customWidth="1"/>
    <col min="72" max="72" width="1.7109375" style="57" customWidth="1"/>
    <col min="73" max="73" width="16.7109375" style="57" customWidth="1"/>
    <col min="74" max="74" width="6.7109375" style="60" customWidth="1"/>
    <col min="75" max="75" width="6.7109375" style="57" customWidth="1"/>
    <col min="76" max="76" width="6.7109375" style="59" customWidth="1"/>
    <col min="77" max="77" width="1.7109375" style="57" customWidth="1"/>
    <col min="78" max="78" width="16.7109375" style="57" customWidth="1"/>
    <col min="79" max="79" width="6.7109375" style="60" customWidth="1"/>
    <col min="80" max="80" width="6.7109375" style="57" customWidth="1"/>
    <col min="81" max="81" width="6.7109375" style="59" customWidth="1"/>
    <col min="82" max="82" width="1.7109375" style="57" customWidth="1"/>
    <col min="83" max="83" width="16.7109375" style="57" customWidth="1"/>
    <col min="84" max="84" width="6.7109375" style="60" customWidth="1"/>
    <col min="85" max="85" width="6.7109375" style="57" customWidth="1"/>
    <col min="86" max="86" width="6.7109375" style="59" customWidth="1"/>
    <col min="87" max="87" width="1.7109375" style="57" customWidth="1"/>
    <col min="88" max="16384" width="9.140625" style="57"/>
  </cols>
  <sheetData>
    <row r="2" spans="1:86" s="76" customFormat="1" ht="20.100000000000001" customHeight="1">
      <c r="A2" s="75"/>
      <c r="B2" s="42"/>
      <c r="C2" s="43"/>
      <c r="E2" s="42"/>
      <c r="F2" s="42"/>
      <c r="H2" s="62" t="s">
        <v>5</v>
      </c>
      <c r="I2" s="67">
        <v>3.39</v>
      </c>
      <c r="J2" s="68" t="s">
        <v>9</v>
      </c>
      <c r="K2" s="83" t="s">
        <v>11</v>
      </c>
      <c r="M2" s="62" t="s">
        <v>12</v>
      </c>
      <c r="N2" s="67">
        <f>Dist1</f>
        <v>3.39</v>
      </c>
      <c r="O2" s="68" t="s">
        <v>9</v>
      </c>
      <c r="P2" s="83" t="s">
        <v>11</v>
      </c>
      <c r="R2" s="62" t="s">
        <v>13</v>
      </c>
      <c r="S2" s="67">
        <f>Dist1</f>
        <v>3.39</v>
      </c>
      <c r="T2" s="68" t="s">
        <v>9</v>
      </c>
      <c r="U2" s="83" t="s">
        <v>11</v>
      </c>
      <c r="W2" s="62" t="s">
        <v>14</v>
      </c>
      <c r="X2" s="67">
        <f>Dist1</f>
        <v>3.39</v>
      </c>
      <c r="Y2" s="68" t="s">
        <v>9</v>
      </c>
      <c r="Z2" s="83" t="s">
        <v>11</v>
      </c>
      <c r="AB2" s="62" t="s">
        <v>15</v>
      </c>
      <c r="AC2" s="67">
        <v>4</v>
      </c>
      <c r="AD2" s="68" t="s">
        <v>9</v>
      </c>
      <c r="AE2" s="83" t="s">
        <v>11</v>
      </c>
      <c r="AG2" s="62" t="s">
        <v>16</v>
      </c>
      <c r="AH2" s="67">
        <v>4.2699999999999996</v>
      </c>
      <c r="AI2" s="68" t="s">
        <v>9</v>
      </c>
      <c r="AJ2" s="83" t="s">
        <v>11</v>
      </c>
      <c r="AL2" s="62" t="s">
        <v>17</v>
      </c>
      <c r="AM2" s="67">
        <v>4.6399999999999997</v>
      </c>
      <c r="AN2" s="68" t="s">
        <v>9</v>
      </c>
      <c r="AO2" s="83" t="s">
        <v>11</v>
      </c>
      <c r="AQ2" s="62" t="s">
        <v>18</v>
      </c>
      <c r="AR2" s="67">
        <v>3.67</v>
      </c>
      <c r="AS2" s="68" t="s">
        <v>9</v>
      </c>
      <c r="AT2" s="83" t="s">
        <v>11</v>
      </c>
      <c r="AV2" s="42"/>
      <c r="AW2" s="45"/>
      <c r="AX2" s="46"/>
      <c r="AY2" s="47"/>
      <c r="BB2" s="77"/>
      <c r="BD2" s="78"/>
      <c r="BG2" s="77"/>
      <c r="BI2" s="78"/>
      <c r="BL2" s="77"/>
      <c r="BN2" s="78"/>
      <c r="BQ2" s="77"/>
      <c r="BS2" s="78"/>
      <c r="BV2" s="77"/>
      <c r="BX2" s="78"/>
      <c r="CA2" s="77"/>
      <c r="CC2" s="78"/>
      <c r="CF2" s="77"/>
      <c r="CH2" s="78"/>
    </row>
    <row r="3" spans="1:86" s="76" customFormat="1" ht="20.100000000000001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4" t="s">
        <v>8</v>
      </c>
      <c r="K3" s="85" t="s">
        <v>10</v>
      </c>
      <c r="M3" s="69" t="s">
        <v>6</v>
      </c>
      <c r="N3" s="70" t="s">
        <v>7</v>
      </c>
      <c r="O3" s="84" t="s">
        <v>8</v>
      </c>
      <c r="P3" s="85" t="s">
        <v>10</v>
      </c>
      <c r="R3" s="69" t="s">
        <v>6</v>
      </c>
      <c r="S3" s="70" t="s">
        <v>7</v>
      </c>
      <c r="T3" s="84" t="s">
        <v>8</v>
      </c>
      <c r="U3" s="85" t="s">
        <v>10</v>
      </c>
      <c r="W3" s="69" t="s">
        <v>6</v>
      </c>
      <c r="X3" s="70" t="s">
        <v>7</v>
      </c>
      <c r="Y3" s="84" t="s">
        <v>8</v>
      </c>
      <c r="Z3" s="85" t="s">
        <v>10</v>
      </c>
      <c r="AB3" s="69" t="s">
        <v>6</v>
      </c>
      <c r="AC3" s="70" t="s">
        <v>7</v>
      </c>
      <c r="AD3" s="84" t="s">
        <v>8</v>
      </c>
      <c r="AE3" s="85" t="s">
        <v>10</v>
      </c>
      <c r="AG3" s="69" t="s">
        <v>6</v>
      </c>
      <c r="AH3" s="70" t="s">
        <v>7</v>
      </c>
      <c r="AI3" s="84" t="s">
        <v>8</v>
      </c>
      <c r="AJ3" s="85" t="s">
        <v>10</v>
      </c>
      <c r="AL3" s="69" t="s">
        <v>6</v>
      </c>
      <c r="AM3" s="70" t="s">
        <v>7</v>
      </c>
      <c r="AN3" s="84" t="s">
        <v>8</v>
      </c>
      <c r="AO3" s="85" t="s">
        <v>10</v>
      </c>
      <c r="AQ3" s="69" t="s">
        <v>6</v>
      </c>
      <c r="AR3" s="70" t="s">
        <v>7</v>
      </c>
      <c r="AS3" s="84" t="s">
        <v>8</v>
      </c>
      <c r="AT3" s="85" t="s">
        <v>10</v>
      </c>
      <c r="AV3" s="48"/>
      <c r="AW3" s="49"/>
      <c r="AX3" s="47"/>
      <c r="AY3" s="47"/>
      <c r="BB3" s="77"/>
      <c r="BD3" s="78"/>
      <c r="BG3" s="77"/>
      <c r="BI3" s="78"/>
      <c r="BL3" s="77"/>
      <c r="BN3" s="78"/>
      <c r="BQ3" s="77"/>
      <c r="BS3" s="78"/>
      <c r="BV3" s="77"/>
      <c r="BX3" s="78"/>
      <c r="CA3" s="77"/>
      <c r="CC3" s="78"/>
      <c r="CF3" s="77"/>
      <c r="CH3" s="78"/>
    </row>
    <row r="4" spans="1:86" s="44" customFormat="1" ht="20.100000000000001" customHeight="1">
      <c r="A4" s="64" t="str">
        <f>'Team Selection'!B3</f>
        <v>Go Franky</v>
      </c>
      <c r="B4" s="65">
        <f>SUM(E4,E13)</f>
        <v>0.18190972222222218</v>
      </c>
      <c r="C4" s="66">
        <f>RANK(B4,B$4:B$9,2)</f>
        <v>6</v>
      </c>
      <c r="E4" s="65">
        <f>SUM(I4,N4,S4,X4,AC4,AH4,AM4,AR4)</f>
        <v>8.8807870370370356E-2</v>
      </c>
      <c r="F4" s="66">
        <f>RANK(E4,E$4:E$9,2)</f>
        <v>6</v>
      </c>
      <c r="H4" s="168" t="s">
        <v>50</v>
      </c>
      <c r="I4" s="72">
        <v>9.4212962962962957E-3</v>
      </c>
      <c r="J4" s="25">
        <f t="shared" ref="J4:J9" si="0">I4/Dist1</f>
        <v>2.7791434502348954E-3</v>
      </c>
      <c r="K4" s="26">
        <f>IF(I4&gt;0,RANK(I4,$H$52:$H$75,1),)</f>
        <v>11</v>
      </c>
      <c r="M4" s="168" t="s">
        <v>67</v>
      </c>
      <c r="N4" s="72">
        <v>9.479166666666667E-3</v>
      </c>
      <c r="O4" s="25">
        <f t="shared" ref="O4:O9" si="1">N4/Dist1</f>
        <v>2.7962143559488693E-3</v>
      </c>
      <c r="P4" s="26">
        <f>IF(N4&gt;0,RANK(N4,$H$52:$H$75,1),)</f>
        <v>12</v>
      </c>
      <c r="R4" s="168" t="s">
        <v>56</v>
      </c>
      <c r="S4" s="72">
        <v>7.905092592592592E-3</v>
      </c>
      <c r="T4" s="25">
        <f t="shared" ref="T4:T9" si="2">S4/Dist2</f>
        <v>2.3318857205287882E-3</v>
      </c>
      <c r="U4" s="26">
        <f>IF(S4&gt;0,RANK(S4,$H$52:$H$75,1),)</f>
        <v>1</v>
      </c>
      <c r="W4" s="168" t="s">
        <v>74</v>
      </c>
      <c r="X4" s="72">
        <v>1.3564814814814816E-2</v>
      </c>
      <c r="Y4" s="25">
        <f t="shared" ref="Y4:Y9" si="3">X4/Dist3</f>
        <v>4.0014202993554028E-3</v>
      </c>
      <c r="Z4" s="26">
        <f>IF(X4&gt;0,RANK(X4,$H$52:$H$75,1),)</f>
        <v>24</v>
      </c>
      <c r="AB4" s="71" t="s">
        <v>50</v>
      </c>
      <c r="AC4" s="72">
        <v>1.2569444444444446E-2</v>
      </c>
      <c r="AD4" s="25">
        <f t="shared" ref="AD4:AD9" si="4">AC4/Dist4</f>
        <v>3.1423611111111114E-3</v>
      </c>
      <c r="AE4" s="26">
        <f>IF(AC4&gt;0,RANK(AC4,AC$4:AC$9,1),)</f>
        <v>5</v>
      </c>
      <c r="AG4" s="71" t="s">
        <v>67</v>
      </c>
      <c r="AH4" s="72">
        <v>1.0694444444444444E-2</v>
      </c>
      <c r="AI4" s="25">
        <f t="shared" ref="AI4:AI9" si="5">AH4/Dist5</f>
        <v>2.5045537340619311E-3</v>
      </c>
      <c r="AJ4" s="26">
        <f>IF(AH4&gt;0,RANK(AH4,AH$4:AH$9,1),)</f>
        <v>2</v>
      </c>
      <c r="AL4" s="71" t="s">
        <v>56</v>
      </c>
      <c r="AM4" s="72">
        <v>1.0138888888888888E-2</v>
      </c>
      <c r="AN4" s="25">
        <f t="shared" ref="AN4:AN9" si="6">AM4/Dist6</f>
        <v>2.1851053639846746E-3</v>
      </c>
      <c r="AO4" s="26">
        <f>IF(AM4&gt;0,RANK(AM4,AM$4:AM$9,1),)</f>
        <v>3</v>
      </c>
      <c r="AQ4" s="71" t="s">
        <v>74</v>
      </c>
      <c r="AR4" s="72">
        <v>1.503472222222222E-2</v>
      </c>
      <c r="AS4" s="25">
        <f t="shared" ref="AS4:AS9" si="7">AR4/Dist7</f>
        <v>4.0966545564638203E-3</v>
      </c>
      <c r="AT4" s="26">
        <f>IF(AR4&gt;0,RANK(AR4,AR$4:AR$9,1),)</f>
        <v>6</v>
      </c>
      <c r="AV4" s="50"/>
      <c r="AW4" s="51"/>
      <c r="AX4" s="52"/>
      <c r="AY4" s="53"/>
    </row>
    <row r="5" spans="1:86" s="44" customFormat="1" ht="20.100000000000001" customHeight="1">
      <c r="A5" s="64" t="str">
        <f>'Team Selection'!B4</f>
        <v>Oranges, Lemons and Dim Sims</v>
      </c>
      <c r="B5" s="65">
        <f>SUM(E5,E14)</f>
        <v>0.17269675925925926</v>
      </c>
      <c r="C5" s="66">
        <f>RANK(B5,B$4:B$9,2)</f>
        <v>5</v>
      </c>
      <c r="E5" s="65">
        <f t="shared" ref="E5:E9" si="8">SUM(I5,N5,S5,X5,AC5,AH5,AM5,AR5)</f>
        <v>8.4699074074074066E-2</v>
      </c>
      <c r="F5" s="66">
        <f>RANK(E5,E$4:E$9,2)</f>
        <v>5</v>
      </c>
      <c r="H5" s="168" t="s">
        <v>73</v>
      </c>
      <c r="I5" s="72">
        <v>1.0856481481481481E-2</v>
      </c>
      <c r="J5" s="25">
        <f t="shared" si="0"/>
        <v>3.2025019119414399E-3</v>
      </c>
      <c r="K5" s="26">
        <f>IF(I5&gt;0,RANK(I5,$H$52:$H$75,1),)</f>
        <v>23</v>
      </c>
      <c r="M5" s="168" t="s">
        <v>57</v>
      </c>
      <c r="N5" s="72">
        <v>9.5949074074074079E-3</v>
      </c>
      <c r="O5" s="25">
        <f t="shared" si="1"/>
        <v>2.8303561673768164E-3</v>
      </c>
      <c r="P5" s="26">
        <f>IF(N5&gt;0,RANK(N5,$H$52:$H$75,1),)</f>
        <v>15</v>
      </c>
      <c r="R5" s="168" t="s">
        <v>59</v>
      </c>
      <c r="S5" s="72">
        <v>9.3749999999999997E-3</v>
      </c>
      <c r="T5" s="25">
        <f t="shared" si="2"/>
        <v>2.7654867256637168E-3</v>
      </c>
      <c r="U5" s="26">
        <f>IF(S5&gt;0,RANK(S5,$H$52:$H$75,1),)</f>
        <v>10</v>
      </c>
      <c r="W5" s="168" t="s">
        <v>61</v>
      </c>
      <c r="X5" s="72">
        <v>8.1828703703703699E-3</v>
      </c>
      <c r="Y5" s="25">
        <f t="shared" si="3"/>
        <v>2.4138260679558614E-3</v>
      </c>
      <c r="Z5" s="26">
        <f>IF(X5&gt;0,RANK(X5,$H$52:$H$75,1),)</f>
        <v>3</v>
      </c>
      <c r="AB5" s="71" t="s">
        <v>57</v>
      </c>
      <c r="AC5" s="72">
        <v>1.2638888888888889E-2</v>
      </c>
      <c r="AD5" s="25">
        <f t="shared" si="4"/>
        <v>3.1597222222222222E-3</v>
      </c>
      <c r="AE5" s="26">
        <f>IF(AC5&gt;0,RANK(AC5,AC$4:AC$9,1),)</f>
        <v>6</v>
      </c>
      <c r="AG5" s="71" t="s">
        <v>59</v>
      </c>
      <c r="AH5" s="72">
        <v>1.1041666666666667E-2</v>
      </c>
      <c r="AI5" s="25">
        <f t="shared" si="5"/>
        <v>2.5858704137392665E-3</v>
      </c>
      <c r="AJ5" s="26">
        <f>IF(AH5&gt;0,RANK(AH5,AH$4:AH$9,1),)</f>
        <v>3</v>
      </c>
      <c r="AL5" s="71" t="s">
        <v>61</v>
      </c>
      <c r="AM5" s="72">
        <v>1.0081018518518519E-2</v>
      </c>
      <c r="AN5" s="25">
        <f t="shared" si="6"/>
        <v>2.1726333014048531E-3</v>
      </c>
      <c r="AO5" s="26">
        <f>IF(AM5&gt;0,RANK(AM5,AM$4:AM$9,1),)</f>
        <v>1</v>
      </c>
      <c r="AQ5" s="71" t="s">
        <v>73</v>
      </c>
      <c r="AR5" s="72">
        <v>1.292824074074074E-2</v>
      </c>
      <c r="AS5" s="25">
        <f t="shared" si="7"/>
        <v>3.5226814007467957E-3</v>
      </c>
      <c r="AT5" s="26">
        <f>IF(AR5&gt;0,RANK(AR5,AR$4:AR$9,1),)</f>
        <v>5</v>
      </c>
      <c r="AV5" s="50"/>
      <c r="AW5" s="51"/>
      <c r="AX5" s="52"/>
      <c r="AY5" s="53"/>
    </row>
    <row r="6" spans="1:86" s="44" customFormat="1" ht="20.100000000000001" customHeight="1">
      <c r="A6" s="64" t="str">
        <f>'Team Selection'!B5</f>
        <v>Ron Burgundy</v>
      </c>
      <c r="B6" s="65">
        <f>SUM(E6,E15)</f>
        <v>0.16571759259259261</v>
      </c>
      <c r="C6" s="66">
        <f>RANK(B6,B$4:B$9,2)</f>
        <v>1</v>
      </c>
      <c r="E6" s="65">
        <f t="shared" si="8"/>
        <v>7.9826388888888891E-2</v>
      </c>
      <c r="F6" s="66">
        <f>RANK(E6,E$4:E$9,2)</f>
        <v>1</v>
      </c>
      <c r="H6" s="168" t="s">
        <v>66</v>
      </c>
      <c r="I6" s="72">
        <v>8.8425925925925911E-3</v>
      </c>
      <c r="J6" s="25">
        <f t="shared" si="0"/>
        <v>2.6084343930951595E-3</v>
      </c>
      <c r="K6" s="26">
        <f>IF(I6&gt;0,RANK(I6,$H$52:$H$75,1),)</f>
        <v>8</v>
      </c>
      <c r="M6" s="168" t="s">
        <v>60</v>
      </c>
      <c r="N6" s="72">
        <v>9.5370370370370366E-3</v>
      </c>
      <c r="O6" s="25">
        <f t="shared" si="1"/>
        <v>2.8132852616628424E-3</v>
      </c>
      <c r="P6" s="26">
        <f>IF(N6&gt;0,RANK(N6,$H$52:$H$75,1),)</f>
        <v>13</v>
      </c>
      <c r="R6" s="168" t="s">
        <v>62</v>
      </c>
      <c r="S6" s="72">
        <v>8.3564814814814804E-3</v>
      </c>
      <c r="T6" s="25">
        <f t="shared" si="2"/>
        <v>2.4650387850977816E-3</v>
      </c>
      <c r="U6" s="26">
        <f>IF(S6&gt;0,RANK(S6,$H$52:$H$75,1),)</f>
        <v>4</v>
      </c>
      <c r="W6" s="168" t="s">
        <v>70</v>
      </c>
      <c r="X6" s="72">
        <v>9.8611111111111104E-3</v>
      </c>
      <c r="Y6" s="25">
        <f t="shared" si="3"/>
        <v>2.9088823336610942E-3</v>
      </c>
      <c r="Z6" s="26">
        <f>IF(X6&gt;0,RANK(X6,$H$52:$H$75,1),)</f>
        <v>19</v>
      </c>
      <c r="AB6" s="71" t="s">
        <v>66</v>
      </c>
      <c r="AC6" s="72">
        <v>1.1701388888888891E-2</v>
      </c>
      <c r="AD6" s="25">
        <f t="shared" si="4"/>
        <v>2.9253472222222228E-3</v>
      </c>
      <c r="AE6" s="26">
        <f>IF(AC6&gt;0,RANK(AC6,AC$4:AC$9,1),)</f>
        <v>4</v>
      </c>
      <c r="AG6" s="71" t="s">
        <v>60</v>
      </c>
      <c r="AH6" s="72">
        <v>1.0497685185185186E-2</v>
      </c>
      <c r="AI6" s="25">
        <f t="shared" si="5"/>
        <v>2.4584742822447744E-3</v>
      </c>
      <c r="AJ6" s="26">
        <f>IF(AH6&gt;0,RANK(AH6,AH$4:AH$9,1),)</f>
        <v>1</v>
      </c>
      <c r="AL6" s="71" t="s">
        <v>62</v>
      </c>
      <c r="AM6" s="72">
        <v>1.0115740740740741E-2</v>
      </c>
      <c r="AN6" s="25">
        <f t="shared" si="6"/>
        <v>2.1801165389527459E-3</v>
      </c>
      <c r="AO6" s="26">
        <f>IF(AM6&gt;0,RANK(AM6,AM$4:AM$9,1),)</f>
        <v>2</v>
      </c>
      <c r="AQ6" s="71" t="s">
        <v>70</v>
      </c>
      <c r="AR6" s="72">
        <v>1.091435185185185E-2</v>
      </c>
      <c r="AS6" s="25">
        <f t="shared" si="7"/>
        <v>2.9739378342920576E-3</v>
      </c>
      <c r="AT6" s="26">
        <f>IF(AR6&gt;0,RANK(AR6,AR$4:AR$9,1),)</f>
        <v>2</v>
      </c>
      <c r="AV6" s="50"/>
      <c r="AW6" s="51"/>
      <c r="AX6" s="52"/>
      <c r="AY6" s="53"/>
    </row>
    <row r="7" spans="1:86" s="44" customFormat="1" ht="20.100000000000001" customHeight="1">
      <c r="A7" s="64" t="str">
        <f>'Team Selection'!B6</f>
        <v>Magpie Army</v>
      </c>
      <c r="B7" s="65">
        <f>SUM(E7,E16)</f>
        <v>0.17093749999999999</v>
      </c>
      <c r="C7" s="66">
        <f>RANK(B7,B$4:B$9,2)</f>
        <v>4</v>
      </c>
      <c r="E7" s="65">
        <f t="shared" si="8"/>
        <v>8.1458333333333327E-2</v>
      </c>
      <c r="F7" s="66">
        <f>RANK(E7,E$4:E$9,2)</f>
        <v>4</v>
      </c>
      <c r="H7" s="168" t="s">
        <v>54</v>
      </c>
      <c r="I7" s="72">
        <v>8.1365740740740738E-3</v>
      </c>
      <c r="J7" s="25">
        <f t="shared" si="0"/>
        <v>2.4001693433846824E-3</v>
      </c>
      <c r="K7" s="26">
        <f>IF(I7&gt;0,RANK(I7,$H$52:$H$75,1),)</f>
        <v>2</v>
      </c>
      <c r="M7" s="168" t="s">
        <v>55</v>
      </c>
      <c r="N7" s="72">
        <v>9.5601851851851855E-3</v>
      </c>
      <c r="O7" s="25">
        <f t="shared" si="1"/>
        <v>2.8201136239484324E-3</v>
      </c>
      <c r="P7" s="26">
        <f>IF(N7&gt;0,RANK(N7,$H$52:$H$75,1),)</f>
        <v>14</v>
      </c>
      <c r="R7" s="168" t="s">
        <v>65</v>
      </c>
      <c r="S7" s="72">
        <v>9.6759259259259264E-3</v>
      </c>
      <c r="T7" s="25">
        <f t="shared" si="2"/>
        <v>2.8542554353763795E-3</v>
      </c>
      <c r="U7" s="26">
        <f>IF(S7&gt;0,RANK(S7,$H$52:$H$75,1),)</f>
        <v>16</v>
      </c>
      <c r="W7" s="168" t="s">
        <v>71</v>
      </c>
      <c r="X7" s="72">
        <v>9.9537037037037042E-3</v>
      </c>
      <c r="Y7" s="25">
        <f t="shared" si="3"/>
        <v>2.9361957828034527E-3</v>
      </c>
      <c r="Z7" s="26">
        <f>IF(X7&gt;0,RANK(X7,$H$52:$H$75,1),)</f>
        <v>20</v>
      </c>
      <c r="AB7" s="71" t="s">
        <v>54</v>
      </c>
      <c r="AC7" s="72">
        <v>1.0671296296296297E-2</v>
      </c>
      <c r="AD7" s="25">
        <f t="shared" si="4"/>
        <v>2.6678240740740742E-3</v>
      </c>
      <c r="AE7" s="26">
        <f>IF(AC7&gt;0,RANK(AC7,AC$4:AC$9,1),)</f>
        <v>1</v>
      </c>
      <c r="AG7" s="71" t="s">
        <v>55</v>
      </c>
      <c r="AH7" s="72">
        <v>1.1076388888888887E-2</v>
      </c>
      <c r="AI7" s="25">
        <f t="shared" si="5"/>
        <v>2.5940020817069994E-3</v>
      </c>
      <c r="AJ7" s="26">
        <f>IF(AH7&gt;0,RANK(AH7,AH$4:AH$9,1),)</f>
        <v>4</v>
      </c>
      <c r="AL7" s="71" t="s">
        <v>65</v>
      </c>
      <c r="AM7" s="72">
        <v>1.1412037037037038E-2</v>
      </c>
      <c r="AN7" s="25">
        <f t="shared" si="6"/>
        <v>2.4594907407407413E-3</v>
      </c>
      <c r="AO7" s="26">
        <f>IF(AM7&gt;0,RANK(AM7,AM$4:AM$9,1),)</f>
        <v>6</v>
      </c>
      <c r="AQ7" s="71" t="s">
        <v>71</v>
      </c>
      <c r="AR7" s="72">
        <v>1.0972222222222223E-2</v>
      </c>
      <c r="AS7" s="25">
        <f t="shared" si="7"/>
        <v>2.9897063275809875E-3</v>
      </c>
      <c r="AT7" s="26">
        <f>IF(AR7&gt;0,RANK(AR7,AR$4:AR$9,1),)</f>
        <v>3</v>
      </c>
      <c r="AV7" s="50"/>
      <c r="AW7" s="51"/>
      <c r="AX7" s="52"/>
      <c r="AY7" s="53"/>
    </row>
    <row r="8" spans="1:86" s="44" customFormat="1" ht="20.100000000000001" customHeight="1">
      <c r="A8" s="64" t="str">
        <f>'Team Selection'!B7</f>
        <v>Daylight Chasers</v>
      </c>
      <c r="B8" s="65">
        <f>SUM(E8,E17)</f>
        <v>0.16991898148148149</v>
      </c>
      <c r="C8" s="66">
        <f>RANK(B8,B$4:B$9,2)</f>
        <v>3</v>
      </c>
      <c r="E8" s="65">
        <f t="shared" si="8"/>
        <v>8.1377314814814819E-2</v>
      </c>
      <c r="F8" s="66">
        <f>RANK(E8,E$4:E$9,2)</f>
        <v>3</v>
      </c>
      <c r="H8" s="168" t="s">
        <v>45</v>
      </c>
      <c r="I8" s="72">
        <v>8.4143518518518517E-3</v>
      </c>
      <c r="J8" s="25">
        <f t="shared" si="0"/>
        <v>2.4821096908117556E-3</v>
      </c>
      <c r="K8" s="26">
        <f>IF(I8&gt;0,RANK(I8,$H$52:$H$75,1),)</f>
        <v>5</v>
      </c>
      <c r="M8" s="168" t="s">
        <v>68</v>
      </c>
      <c r="N8" s="72">
        <v>9.7685185185185184E-3</v>
      </c>
      <c r="O8" s="25">
        <f t="shared" si="1"/>
        <v>2.8815688845187371E-3</v>
      </c>
      <c r="P8" s="26">
        <f>IF(N8&gt;0,RANK(N8,$H$52:$H$75,1),)</f>
        <v>18</v>
      </c>
      <c r="R8" s="168" t="s">
        <v>64</v>
      </c>
      <c r="S8" s="72">
        <v>8.8541666666666664E-3</v>
      </c>
      <c r="T8" s="25">
        <f t="shared" si="2"/>
        <v>2.6118485742379544E-3</v>
      </c>
      <c r="U8" s="26">
        <f>IF(S8&gt;0,RANK(S8,$H$52:$H$75,1),)</f>
        <v>9</v>
      </c>
      <c r="W8" s="168" t="s">
        <v>72</v>
      </c>
      <c r="X8" s="72">
        <v>1.0104166666666668E-2</v>
      </c>
      <c r="Y8" s="25">
        <f t="shared" si="3"/>
        <v>2.9805801376597838E-3</v>
      </c>
      <c r="Z8" s="26">
        <f>IF(X8&gt;0,RANK(X8,$H$52:$H$75,1),)</f>
        <v>21</v>
      </c>
      <c r="AB8" s="71" t="s">
        <v>45</v>
      </c>
      <c r="AC8" s="72">
        <v>1.0868055555555556E-2</v>
      </c>
      <c r="AD8" s="25">
        <f t="shared" si="4"/>
        <v>2.717013888888889E-3</v>
      </c>
      <c r="AE8" s="26">
        <f>IF(AC8&gt;0,RANK(AC8,AC$4:AC$9,1),)</f>
        <v>2</v>
      </c>
      <c r="AG8" s="71" t="s">
        <v>68</v>
      </c>
      <c r="AH8" s="72">
        <v>1.1226851851851854E-2</v>
      </c>
      <c r="AI8" s="25">
        <f t="shared" si="5"/>
        <v>2.6292393095671794E-3</v>
      </c>
      <c r="AJ8" s="26">
        <f>IF(AH8&gt;0,RANK(AH8,AH$4:AH$9,1),)</f>
        <v>5</v>
      </c>
      <c r="AL8" s="71" t="s">
        <v>64</v>
      </c>
      <c r="AM8" s="72">
        <v>1.0949074074074075E-2</v>
      </c>
      <c r="AN8" s="25">
        <f t="shared" si="6"/>
        <v>2.3597142401021714E-3</v>
      </c>
      <c r="AO8" s="26">
        <f>IF(AM8&gt;0,RANK(AM8,AM$4:AM$9,1),)</f>
        <v>5</v>
      </c>
      <c r="AQ8" s="71" t="s">
        <v>72</v>
      </c>
      <c r="AR8" s="72">
        <v>1.119212962962963E-2</v>
      </c>
      <c r="AS8" s="25">
        <f t="shared" si="7"/>
        <v>3.0496266020789181E-3</v>
      </c>
      <c r="AT8" s="26">
        <f>IF(AR8&gt;0,RANK(AR8,AR$4:AR$9,1),)</f>
        <v>4</v>
      </c>
      <c r="AV8" s="50"/>
      <c r="AW8" s="51"/>
      <c r="AX8" s="52"/>
      <c r="AY8" s="53"/>
    </row>
    <row r="9" spans="1:86" s="44" customFormat="1" ht="20.100000000000001" customHeight="1">
      <c r="A9" s="64" t="str">
        <f>'Team Selection'!B8</f>
        <v>The Undeserving Favourites</v>
      </c>
      <c r="B9" s="65">
        <f>SUM(E9,E18)</f>
        <v>0.16736111111111113</v>
      </c>
      <c r="C9" s="66">
        <f>RANK(B9,B$4:B$9,2)</f>
        <v>2</v>
      </c>
      <c r="E9" s="65">
        <f t="shared" si="8"/>
        <v>8.128472222222223E-2</v>
      </c>
      <c r="F9" s="66">
        <f>RANK(E9,E$4:E$9,2)</f>
        <v>2</v>
      </c>
      <c r="H9" s="168" t="s">
        <v>63</v>
      </c>
      <c r="I9" s="72">
        <v>8.6921296296296312E-3</v>
      </c>
      <c r="J9" s="25">
        <f t="shared" si="0"/>
        <v>2.5640500382388292E-3</v>
      </c>
      <c r="K9" s="26">
        <f>IF(I9&gt;0,RANK(I9,$H$52:$H$75,1),)</f>
        <v>6</v>
      </c>
      <c r="M9" s="168" t="s">
        <v>69</v>
      </c>
      <c r="N9" s="72">
        <v>1.0266203703703703E-2</v>
      </c>
      <c r="O9" s="25">
        <f t="shared" si="1"/>
        <v>3.0283786736589094E-3</v>
      </c>
      <c r="P9" s="26">
        <f>IF(N9&gt;0,RANK(N9,$H$52:$H$75,1),)</f>
        <v>22</v>
      </c>
      <c r="R9" s="168" t="s">
        <v>49</v>
      </c>
      <c r="S9" s="72">
        <v>8.6921296296296312E-3</v>
      </c>
      <c r="T9" s="25">
        <f t="shared" si="2"/>
        <v>2.5640500382388292E-3</v>
      </c>
      <c r="U9" s="26">
        <f>IF(S9&gt;0,RANK(S9,$H$52:$H$75,1),)</f>
        <v>6</v>
      </c>
      <c r="W9" s="168" t="s">
        <v>58</v>
      </c>
      <c r="X9" s="72">
        <v>9.6874999999999999E-3</v>
      </c>
      <c r="Y9" s="25">
        <f t="shared" si="3"/>
        <v>2.857669616519174E-3</v>
      </c>
      <c r="Z9" s="26">
        <f>IF(X9&gt;0,RANK(X9,$H$52:$H$75,1),)</f>
        <v>17</v>
      </c>
      <c r="AB9" s="71" t="s">
        <v>63</v>
      </c>
      <c r="AC9" s="72">
        <v>1.119212962962963E-2</v>
      </c>
      <c r="AD9" s="25">
        <f t="shared" si="4"/>
        <v>2.7980324074074075E-3</v>
      </c>
      <c r="AE9" s="26">
        <f>IF(AC9&gt;0,RANK(AC9,AC$4:AC$9,1),)</f>
        <v>3</v>
      </c>
      <c r="AG9" s="71" t="s">
        <v>69</v>
      </c>
      <c r="AH9" s="72">
        <v>1.1400462962962965E-2</v>
      </c>
      <c r="AI9" s="25">
        <f t="shared" si="5"/>
        <v>2.6698976494058469E-3</v>
      </c>
      <c r="AJ9" s="26">
        <f>IF(AH9&gt;0,RANK(AH9,AH$4:AH$9,1),)</f>
        <v>6</v>
      </c>
      <c r="AL9" s="71" t="s">
        <v>49</v>
      </c>
      <c r="AM9" s="72">
        <v>1.0694444444444444E-2</v>
      </c>
      <c r="AN9" s="25">
        <f t="shared" si="6"/>
        <v>2.3048371647509578E-3</v>
      </c>
      <c r="AO9" s="26">
        <f>IF(AM9&gt;0,RANK(AM9,AM$4:AM$9,1),)</f>
        <v>4</v>
      </c>
      <c r="AQ9" s="71" t="s">
        <v>58</v>
      </c>
      <c r="AR9" s="72">
        <v>1.0659722222222221E-2</v>
      </c>
      <c r="AS9" s="25">
        <f t="shared" si="7"/>
        <v>2.9045564638207687E-3</v>
      </c>
      <c r="AT9" s="26">
        <f>IF(AR9&gt;0,RANK(AR9,AR$4:AR$9,1),)</f>
        <v>1</v>
      </c>
      <c r="AV9" s="50"/>
      <c r="AW9" s="51"/>
      <c r="AX9" s="52"/>
      <c r="AY9" s="53"/>
    </row>
    <row r="10" spans="1:86" ht="20.100000000000001" customHeight="1">
      <c r="I10" s="58"/>
      <c r="J10" s="59"/>
      <c r="N10" s="58"/>
      <c r="O10" s="59"/>
      <c r="S10" s="58"/>
      <c r="T10" s="59"/>
      <c r="X10" s="58"/>
      <c r="Y10" s="59"/>
      <c r="AC10" s="58"/>
      <c r="AD10" s="59"/>
      <c r="AH10" s="58"/>
      <c r="AI10" s="59"/>
      <c r="AM10" s="58"/>
      <c r="AN10" s="59"/>
      <c r="AR10" s="58"/>
      <c r="AS10" s="59"/>
      <c r="AW10" s="58"/>
      <c r="AX10" s="59"/>
      <c r="BB10" s="58"/>
      <c r="BC10" s="59"/>
      <c r="BG10" s="58"/>
      <c r="BH10" s="59"/>
      <c r="BL10" s="58"/>
      <c r="BM10" s="59"/>
      <c r="BQ10" s="58"/>
      <c r="BR10" s="59"/>
      <c r="BV10" s="58"/>
      <c r="BW10" s="59"/>
      <c r="CA10" s="58"/>
      <c r="CB10" s="59"/>
      <c r="CF10" s="58"/>
      <c r="CG10" s="59"/>
    </row>
    <row r="11" spans="1:86" s="76" customFormat="1" ht="20.100000000000001" customHeight="1">
      <c r="A11" s="79"/>
      <c r="B11" s="80"/>
      <c r="C11" s="81"/>
      <c r="E11" s="80"/>
      <c r="F11" s="80"/>
      <c r="H11" s="62" t="s">
        <v>21</v>
      </c>
      <c r="I11" s="67">
        <v>3.66</v>
      </c>
      <c r="J11" s="68" t="s">
        <v>9</v>
      </c>
      <c r="K11" s="83" t="s">
        <v>11</v>
      </c>
      <c r="M11" s="62" t="s">
        <v>22</v>
      </c>
      <c r="N11" s="67">
        <v>3.25</v>
      </c>
      <c r="O11" s="68" t="s">
        <v>9</v>
      </c>
      <c r="P11" s="83" t="s">
        <v>11</v>
      </c>
      <c r="R11" s="62" t="s">
        <v>23</v>
      </c>
      <c r="S11" s="67">
        <v>3.47</v>
      </c>
      <c r="T11" s="68" t="s">
        <v>9</v>
      </c>
      <c r="U11" s="83" t="s">
        <v>11</v>
      </c>
      <c r="W11" s="62" t="s">
        <v>24</v>
      </c>
      <c r="X11" s="67">
        <v>4.5</v>
      </c>
      <c r="Y11" s="68" t="s">
        <v>9</v>
      </c>
      <c r="Z11" s="83" t="s">
        <v>11</v>
      </c>
      <c r="AB11" s="62" t="s">
        <v>25</v>
      </c>
      <c r="AC11" s="67">
        <v>4.5</v>
      </c>
      <c r="AD11" s="68" t="s">
        <v>9</v>
      </c>
      <c r="AE11" s="83" t="s">
        <v>11</v>
      </c>
      <c r="AG11" s="62" t="s">
        <v>26</v>
      </c>
      <c r="AH11" s="67">
        <v>4.5</v>
      </c>
      <c r="AI11" s="68" t="s">
        <v>9</v>
      </c>
      <c r="AJ11" s="83" t="s">
        <v>11</v>
      </c>
      <c r="AL11" s="62" t="s">
        <v>51</v>
      </c>
      <c r="AM11" s="67">
        <v>4.49</v>
      </c>
      <c r="AN11" s="68" t="s">
        <v>9</v>
      </c>
      <c r="AO11" s="83" t="s">
        <v>11</v>
      </c>
      <c r="AQ11" s="62" t="s">
        <v>52</v>
      </c>
      <c r="AR11" s="67">
        <v>3.66</v>
      </c>
      <c r="AS11" s="68" t="s">
        <v>9</v>
      </c>
      <c r="AT11" s="83" t="s">
        <v>11</v>
      </c>
      <c r="AV11" s="42"/>
      <c r="AW11" s="45"/>
      <c r="AX11" s="46"/>
      <c r="AY11" s="47"/>
      <c r="BB11" s="82"/>
      <c r="BC11" s="78"/>
      <c r="BD11" s="78"/>
      <c r="BG11" s="82"/>
      <c r="BH11" s="78"/>
      <c r="BI11" s="78"/>
      <c r="BL11" s="82"/>
      <c r="BM11" s="78"/>
      <c r="BN11" s="78"/>
      <c r="BQ11" s="82"/>
      <c r="BR11" s="78"/>
      <c r="BS11" s="78"/>
      <c r="BV11" s="82"/>
      <c r="BW11" s="78"/>
      <c r="BX11" s="78"/>
      <c r="CA11" s="82"/>
      <c r="CB11" s="78"/>
      <c r="CC11" s="78"/>
      <c r="CF11" s="82"/>
      <c r="CG11" s="78"/>
      <c r="CH11" s="78"/>
    </row>
    <row r="12" spans="1:86" s="76" customFormat="1" ht="20.100000000000001" customHeight="1">
      <c r="A12" s="73" t="s">
        <v>0</v>
      </c>
      <c r="B12" s="80"/>
      <c r="C12" s="81"/>
      <c r="E12" s="62" t="s">
        <v>27</v>
      </c>
      <c r="F12" s="63" t="s">
        <v>10</v>
      </c>
      <c r="H12" s="69" t="s">
        <v>6</v>
      </c>
      <c r="I12" s="70" t="s">
        <v>7</v>
      </c>
      <c r="J12" s="84" t="s">
        <v>8</v>
      </c>
      <c r="K12" s="85" t="s">
        <v>10</v>
      </c>
      <c r="M12" s="69" t="s">
        <v>6</v>
      </c>
      <c r="N12" s="70" t="s">
        <v>7</v>
      </c>
      <c r="O12" s="84" t="s">
        <v>8</v>
      </c>
      <c r="P12" s="85" t="s">
        <v>10</v>
      </c>
      <c r="R12" s="69" t="s">
        <v>6</v>
      </c>
      <c r="S12" s="70" t="s">
        <v>7</v>
      </c>
      <c r="T12" s="84" t="s">
        <v>8</v>
      </c>
      <c r="U12" s="85" t="s">
        <v>10</v>
      </c>
      <c r="W12" s="69" t="s">
        <v>6</v>
      </c>
      <c r="X12" s="70" t="s">
        <v>7</v>
      </c>
      <c r="Y12" s="84" t="s">
        <v>8</v>
      </c>
      <c r="Z12" s="85" t="s">
        <v>10</v>
      </c>
      <c r="AB12" s="69" t="s">
        <v>6</v>
      </c>
      <c r="AC12" s="70" t="s">
        <v>7</v>
      </c>
      <c r="AD12" s="84" t="s">
        <v>8</v>
      </c>
      <c r="AE12" s="85" t="s">
        <v>10</v>
      </c>
      <c r="AG12" s="69" t="s">
        <v>6</v>
      </c>
      <c r="AH12" s="70" t="s">
        <v>7</v>
      </c>
      <c r="AI12" s="84" t="s">
        <v>8</v>
      </c>
      <c r="AJ12" s="85" t="s">
        <v>10</v>
      </c>
      <c r="AL12" s="69" t="s">
        <v>6</v>
      </c>
      <c r="AM12" s="70" t="s">
        <v>7</v>
      </c>
      <c r="AN12" s="84" t="s">
        <v>8</v>
      </c>
      <c r="AO12" s="85" t="s">
        <v>10</v>
      </c>
      <c r="AQ12" s="69" t="s">
        <v>6</v>
      </c>
      <c r="AR12" s="70" t="s">
        <v>7</v>
      </c>
      <c r="AS12" s="84" t="s">
        <v>8</v>
      </c>
      <c r="AT12" s="85" t="s">
        <v>10</v>
      </c>
      <c r="AV12" s="48"/>
      <c r="AW12" s="49"/>
      <c r="AX12" s="47"/>
      <c r="AY12" s="47"/>
      <c r="BB12" s="82"/>
      <c r="BC12" s="78"/>
      <c r="BD12" s="78"/>
      <c r="BG12" s="82"/>
      <c r="BH12" s="78"/>
      <c r="BI12" s="78"/>
      <c r="BL12" s="82"/>
      <c r="BM12" s="78"/>
      <c r="BN12" s="78"/>
      <c r="BQ12" s="82"/>
      <c r="BR12" s="78"/>
      <c r="BS12" s="78"/>
      <c r="BV12" s="82"/>
      <c r="BW12" s="78"/>
      <c r="BX12" s="78"/>
      <c r="CA12" s="82"/>
      <c r="CB12" s="78"/>
      <c r="CC12" s="78"/>
      <c r="CF12" s="82"/>
      <c r="CG12" s="78"/>
      <c r="CH12" s="78"/>
    </row>
    <row r="13" spans="1:86" ht="20.100000000000001" customHeight="1">
      <c r="A13" s="74" t="str">
        <f>A4</f>
        <v>Go Franky</v>
      </c>
      <c r="E13" s="65">
        <f t="shared" ref="E13:E18" si="9">SUM(I13,N13,S13,X13,AC13,AH13,AM13,AR13)</f>
        <v>9.3101851851851838E-2</v>
      </c>
      <c r="F13" s="66">
        <f>RANK(E13,E$13:E$18,2)</f>
        <v>6</v>
      </c>
      <c r="H13" s="71" t="s">
        <v>67</v>
      </c>
      <c r="I13" s="72">
        <v>1.0694444444444444E-2</v>
      </c>
      <c r="J13" s="25">
        <f t="shared" ref="J13:J18" si="10">I13/Dist8</f>
        <v>2.9219793564055855E-3</v>
      </c>
      <c r="K13" s="26">
        <f>IF(I13&gt;0,RANK(I13,I$13:I$18,1),)</f>
        <v>5</v>
      </c>
      <c r="L13" s="44"/>
      <c r="M13" s="71" t="s">
        <v>74</v>
      </c>
      <c r="N13" s="72">
        <v>1.34375E-2</v>
      </c>
      <c r="O13" s="25">
        <f t="shared" ref="O13:O18" si="11">N13/N$11</f>
        <v>4.1346153846153842E-3</v>
      </c>
      <c r="P13" s="26">
        <f>IF(N13&gt;0,RANK(N13,N$13:N$18,1),)</f>
        <v>6</v>
      </c>
      <c r="Q13" s="44"/>
      <c r="R13" s="71" t="s">
        <v>50</v>
      </c>
      <c r="S13" s="72">
        <v>1.0405092592592593E-2</v>
      </c>
      <c r="T13" s="25">
        <f t="shared" ref="T13:T18" si="12">S13/Dist9</f>
        <v>2.9985857615540609E-3</v>
      </c>
      <c r="U13" s="26">
        <f>IF(S13&gt;0,RANK(S13,S$13:S$18,1),)</f>
        <v>4</v>
      </c>
      <c r="V13" s="44"/>
      <c r="W13" s="71" t="s">
        <v>56</v>
      </c>
      <c r="X13" s="72">
        <v>1.0462962962962964E-2</v>
      </c>
      <c r="Y13" s="25">
        <f t="shared" ref="Y13:Y18" si="13">X13/Dist10</f>
        <v>2.3251028806584363E-3</v>
      </c>
      <c r="Z13" s="26">
        <f>IF(X13&gt;0,RANK(X13,X$13:X$18,1),)</f>
        <v>2</v>
      </c>
      <c r="AA13" s="44"/>
      <c r="AB13" s="71" t="s">
        <v>67</v>
      </c>
      <c r="AC13" s="72">
        <v>1.3252314814814814E-2</v>
      </c>
      <c r="AD13" s="25">
        <f t="shared" ref="AD13:AD18" si="14">AC13/Dist11</f>
        <v>2.9449588477366254E-3</v>
      </c>
      <c r="AE13" s="26">
        <f>IF(AC13&gt;0,RANK(AC13,AC$13:AC$18,1),)</f>
        <v>6</v>
      </c>
      <c r="AF13" s="44"/>
      <c r="AG13" s="71" t="s">
        <v>50</v>
      </c>
      <c r="AH13" s="72">
        <v>1.1342592592592592E-2</v>
      </c>
      <c r="AI13" s="25">
        <f t="shared" ref="AI13:AI18" si="15">AH13/Dist12</f>
        <v>2.5205761316872428E-3</v>
      </c>
      <c r="AJ13" s="26">
        <f>IF(AH13&gt;0,RANK(AH13,AH$13:AH$18,1),)</f>
        <v>3</v>
      </c>
      <c r="AK13" s="44"/>
      <c r="AL13" s="71" t="s">
        <v>56</v>
      </c>
      <c r="AM13" s="72">
        <v>9.8032407407407408E-3</v>
      </c>
      <c r="AN13" s="25">
        <f t="shared" ref="AN13:AN18" si="16">AM13/Dist13</f>
        <v>2.1833498308999424E-3</v>
      </c>
      <c r="AO13" s="26">
        <f>IF(AM13&gt;0,RANK(AM13,AM$13:AM$18,1),)</f>
        <v>1</v>
      </c>
      <c r="AP13" s="44"/>
      <c r="AQ13" s="71" t="s">
        <v>74</v>
      </c>
      <c r="AR13" s="72">
        <v>1.3703703703703704E-2</v>
      </c>
      <c r="AS13" s="25">
        <f t="shared" ref="AS13:AS18" si="17">AR13/Dist14</f>
        <v>3.7441813398097551E-3</v>
      </c>
      <c r="AT13" s="26">
        <f>IF(AR13&gt;0,RANK(AR13,AR$13:AR$18,1),)</f>
        <v>6</v>
      </c>
      <c r="AU13" s="44"/>
      <c r="AV13" s="50"/>
      <c r="AW13" s="51"/>
      <c r="AX13" s="52"/>
      <c r="AY13" s="53"/>
      <c r="AZ13" s="44"/>
      <c r="BB13" s="58"/>
      <c r="BC13" s="59"/>
      <c r="BG13" s="58"/>
      <c r="BH13" s="59"/>
      <c r="BL13" s="58"/>
      <c r="BM13" s="59"/>
      <c r="BQ13" s="58"/>
      <c r="BR13" s="59"/>
      <c r="BV13" s="58"/>
      <c r="BW13" s="59"/>
      <c r="CA13" s="58"/>
      <c r="CB13" s="59"/>
      <c r="CF13" s="58"/>
      <c r="CG13" s="59"/>
    </row>
    <row r="14" spans="1:86" ht="20.100000000000001" customHeight="1">
      <c r="A14" s="74" t="str">
        <f>A5</f>
        <v>Oranges, Lemons and Dim Sims</v>
      </c>
      <c r="E14" s="65">
        <f t="shared" si="9"/>
        <v>8.7997685185185193E-2</v>
      </c>
      <c r="F14" s="66">
        <f>RANK(E14,E$13:E$18,2)</f>
        <v>3</v>
      </c>
      <c r="H14" s="71" t="s">
        <v>59</v>
      </c>
      <c r="I14" s="72">
        <v>1.0115740740740741E-2</v>
      </c>
      <c r="J14" s="25">
        <f t="shared" si="10"/>
        <v>2.7638635903663228E-3</v>
      </c>
      <c r="K14" s="26">
        <f>IF(I14&gt;0,RANK(I14,I$13:I$18,1),)</f>
        <v>2</v>
      </c>
      <c r="L14" s="44"/>
      <c r="M14" s="71" t="s">
        <v>73</v>
      </c>
      <c r="N14" s="72">
        <v>1.087962962962963E-2</v>
      </c>
      <c r="O14" s="25">
        <f t="shared" si="11"/>
        <v>3.3475783475783475E-3</v>
      </c>
      <c r="P14" s="26">
        <f>IF(N14&gt;0,RANK(N14,N$13:N$18,1),)</f>
        <v>5</v>
      </c>
      <c r="Q14" s="44"/>
      <c r="R14" s="71" t="s">
        <v>57</v>
      </c>
      <c r="S14" s="72">
        <v>1.0081018518518519E-2</v>
      </c>
      <c r="T14" s="25">
        <f t="shared" si="12"/>
        <v>2.9051926566335787E-3</v>
      </c>
      <c r="U14" s="26">
        <f>IF(S14&gt;0,RANK(S14,S$13:S$18,1),)</f>
        <v>2</v>
      </c>
      <c r="V14" s="44"/>
      <c r="W14" s="71" t="s">
        <v>61</v>
      </c>
      <c r="X14" s="72">
        <v>1.0405092592592593E-2</v>
      </c>
      <c r="Y14" s="25">
        <f t="shared" si="13"/>
        <v>2.3122427983539094E-3</v>
      </c>
      <c r="Z14" s="26">
        <f>IF(X14&gt;0,RANK(X14,X$13:X$18,1),)</f>
        <v>1</v>
      </c>
      <c r="AA14" s="44"/>
      <c r="AB14" s="71" t="s">
        <v>59</v>
      </c>
      <c r="AC14" s="72">
        <v>1.2939814814814814E-2</v>
      </c>
      <c r="AD14" s="25">
        <f t="shared" si="14"/>
        <v>2.8755144032921809E-3</v>
      </c>
      <c r="AE14" s="26">
        <f>IF(AC14&gt;0,RANK(AC14,AC$13:AC$18,1),)</f>
        <v>5</v>
      </c>
      <c r="AF14" s="44"/>
      <c r="AG14" s="71" t="s">
        <v>57</v>
      </c>
      <c r="AH14" s="72">
        <v>1.1423611111111112E-2</v>
      </c>
      <c r="AI14" s="25">
        <f t="shared" si="15"/>
        <v>2.5385802469135802E-3</v>
      </c>
      <c r="AJ14" s="26">
        <f>IF(AH14&gt;0,RANK(AH14,AH$13:AH$18,1),)</f>
        <v>4</v>
      </c>
      <c r="AK14" s="44"/>
      <c r="AL14" s="71" t="s">
        <v>61</v>
      </c>
      <c r="AM14" s="72">
        <v>1.0185185185185184E-2</v>
      </c>
      <c r="AN14" s="25">
        <f t="shared" si="16"/>
        <v>2.2684154087272124E-3</v>
      </c>
      <c r="AO14" s="26">
        <f>IF(AM14&gt;0,RANK(AM14,AM$13:AM$18,1),)</f>
        <v>3</v>
      </c>
      <c r="AP14" s="44"/>
      <c r="AQ14" s="71" t="s">
        <v>73</v>
      </c>
      <c r="AR14" s="72">
        <v>1.1967592592592592E-2</v>
      </c>
      <c r="AS14" s="25">
        <f t="shared" si="17"/>
        <v>3.2698340416919651E-3</v>
      </c>
      <c r="AT14" s="26">
        <f>IF(AR14&gt;0,RANK(AR14,AR$13:AR$18,1),)</f>
        <v>5</v>
      </c>
      <c r="AU14" s="44"/>
      <c r="AV14" s="50"/>
      <c r="AW14" s="51"/>
      <c r="AX14" s="52"/>
      <c r="AY14" s="53"/>
      <c r="AZ14" s="44"/>
      <c r="BB14" s="58"/>
      <c r="BC14" s="59"/>
      <c r="BG14" s="58"/>
      <c r="BH14" s="59"/>
      <c r="BL14" s="58"/>
      <c r="BM14" s="59"/>
      <c r="BQ14" s="58"/>
      <c r="BR14" s="59"/>
      <c r="BV14" s="58"/>
      <c r="BW14" s="59"/>
      <c r="CA14" s="58"/>
      <c r="CB14" s="59"/>
      <c r="CF14" s="58"/>
      <c r="CG14" s="59"/>
    </row>
    <row r="15" spans="1:86" ht="20.100000000000001" customHeight="1">
      <c r="A15" s="74" t="str">
        <f>A6</f>
        <v>Ron Burgundy</v>
      </c>
      <c r="E15" s="65">
        <f t="shared" si="9"/>
        <v>8.5891203703703706E-2</v>
      </c>
      <c r="F15" s="66">
        <f>RANK(E15,E$13:E$18,2)</f>
        <v>1</v>
      </c>
      <c r="H15" s="71" t="s">
        <v>66</v>
      </c>
      <c r="I15" s="72">
        <v>1.0381944444444444E-2</v>
      </c>
      <c r="J15" s="25">
        <f t="shared" si="10"/>
        <v>2.8365968427443832E-3</v>
      </c>
      <c r="K15" s="26">
        <f>IF(I15&gt;0,RANK(I15,I$13:I$18,1),)</f>
        <v>4</v>
      </c>
      <c r="L15" s="44"/>
      <c r="M15" s="71" t="s">
        <v>70</v>
      </c>
      <c r="N15" s="72">
        <v>9.8148148148148144E-3</v>
      </c>
      <c r="O15" s="25">
        <f t="shared" si="11"/>
        <v>3.0199430199430197E-3</v>
      </c>
      <c r="P15" s="26">
        <f>IF(N15&gt;0,RANK(N15,N$13:N$18,1),)</f>
        <v>2</v>
      </c>
      <c r="Q15" s="44"/>
      <c r="R15" s="71" t="s">
        <v>60</v>
      </c>
      <c r="S15" s="72">
        <v>1.0011574074074074E-2</v>
      </c>
      <c r="T15" s="25">
        <f t="shared" si="12"/>
        <v>2.8851798484363323E-3</v>
      </c>
      <c r="U15" s="26">
        <f>IF(S15&gt;0,RANK(S15,S$13:S$18,1),)</f>
        <v>1</v>
      </c>
      <c r="V15" s="44"/>
      <c r="W15" s="71" t="s">
        <v>62</v>
      </c>
      <c r="X15" s="72">
        <v>1.0625000000000001E-2</v>
      </c>
      <c r="Y15" s="25">
        <f t="shared" si="13"/>
        <v>2.3611111111111111E-3</v>
      </c>
      <c r="Z15" s="26">
        <f>IF(X15&gt;0,RANK(X15,X$13:X$18,1),)</f>
        <v>3</v>
      </c>
      <c r="AA15" s="44"/>
      <c r="AB15" s="71" t="s">
        <v>66</v>
      </c>
      <c r="AC15" s="72">
        <v>1.2685185185185183E-2</v>
      </c>
      <c r="AD15" s="25">
        <f t="shared" si="14"/>
        <v>2.8189300411522629E-3</v>
      </c>
      <c r="AE15" s="26">
        <f>IF(AC15&gt;0,RANK(AC15,AC$13:AC$18,1),)</f>
        <v>3</v>
      </c>
      <c r="AF15" s="44"/>
      <c r="AG15" s="71" t="s">
        <v>60</v>
      </c>
      <c r="AH15" s="72">
        <v>1.1296296296296296E-2</v>
      </c>
      <c r="AI15" s="25">
        <f t="shared" si="15"/>
        <v>2.5102880658436212E-3</v>
      </c>
      <c r="AJ15" s="26">
        <f>IF(AH15&gt;0,RANK(AH15,AH$13:AH$18,1),)</f>
        <v>2</v>
      </c>
      <c r="AK15" s="44"/>
      <c r="AL15" s="71" t="s">
        <v>62</v>
      </c>
      <c r="AM15" s="72">
        <v>9.8842592592592576E-3</v>
      </c>
      <c r="AN15" s="25">
        <f t="shared" si="16"/>
        <v>2.2013940443784538E-3</v>
      </c>
      <c r="AO15" s="26">
        <f>IF(AM15&gt;0,RANK(AM15,AM$13:AM$18,1),)</f>
        <v>2</v>
      </c>
      <c r="AP15" s="44"/>
      <c r="AQ15" s="71" t="s">
        <v>70</v>
      </c>
      <c r="AR15" s="72">
        <v>1.119212962962963E-2</v>
      </c>
      <c r="AS15" s="25">
        <f t="shared" si="17"/>
        <v>3.0579589151993524E-3</v>
      </c>
      <c r="AT15" s="26">
        <f>IF(AR15&gt;0,RANK(AR15,AR$13:AR$18,1),)</f>
        <v>3</v>
      </c>
      <c r="AU15" s="44"/>
      <c r="AV15" s="50"/>
      <c r="AW15" s="51"/>
      <c r="AX15" s="52"/>
      <c r="AY15" s="53"/>
      <c r="AZ15" s="44"/>
      <c r="BB15" s="58"/>
      <c r="BC15" s="59"/>
      <c r="BG15" s="58"/>
      <c r="BH15" s="59"/>
      <c r="BL15" s="58"/>
      <c r="BM15" s="59"/>
      <c r="BQ15" s="58"/>
      <c r="BR15" s="59"/>
      <c r="BV15" s="58"/>
      <c r="BW15" s="59"/>
      <c r="CA15" s="58"/>
      <c r="CB15" s="59"/>
      <c r="CF15" s="58"/>
      <c r="CG15" s="59"/>
    </row>
    <row r="16" spans="1:86" ht="20.100000000000001" customHeight="1">
      <c r="A16" s="74" t="str">
        <f>A7</f>
        <v>Magpie Army</v>
      </c>
      <c r="E16" s="65">
        <f t="shared" si="9"/>
        <v>8.9479166666666665E-2</v>
      </c>
      <c r="F16" s="66">
        <f>RANK(E16,E$13:E$18,2)</f>
        <v>5</v>
      </c>
      <c r="H16" s="71" t="s">
        <v>55</v>
      </c>
      <c r="I16" s="72">
        <v>1.1261574074074071E-2</v>
      </c>
      <c r="J16" s="25">
        <f t="shared" si="10"/>
        <v>3.076932807124063E-3</v>
      </c>
      <c r="K16" s="26">
        <f>IF(I16&gt;0,RANK(I16,I$13:I$18,1),)</f>
        <v>6</v>
      </c>
      <c r="L16" s="44"/>
      <c r="M16" s="71" t="s">
        <v>71</v>
      </c>
      <c r="N16" s="72">
        <v>1.0069444444444445E-2</v>
      </c>
      <c r="O16" s="25">
        <f t="shared" si="11"/>
        <v>3.0982905982905986E-3</v>
      </c>
      <c r="P16" s="26">
        <f>IF(N16&gt;0,RANK(N16,N$13:N$18,1),)</f>
        <v>3</v>
      </c>
      <c r="Q16" s="44"/>
      <c r="R16" s="71" t="s">
        <v>55</v>
      </c>
      <c r="S16" s="72">
        <v>1.0439814814814813E-2</v>
      </c>
      <c r="T16" s="25">
        <f t="shared" si="12"/>
        <v>3.0085921656526839E-3</v>
      </c>
      <c r="U16" s="26">
        <f>IF(S16&gt;0,RANK(S16,S$13:S$18,1),)</f>
        <v>5</v>
      </c>
      <c r="V16" s="44"/>
      <c r="W16" s="71" t="s">
        <v>65</v>
      </c>
      <c r="X16" s="72">
        <v>1.3148148148148147E-2</v>
      </c>
      <c r="Y16" s="25">
        <f t="shared" si="13"/>
        <v>2.9218106995884769E-3</v>
      </c>
      <c r="Z16" s="26">
        <f>IF(X16&gt;0,RANK(X16,X$13:X$18,1),)</f>
        <v>6</v>
      </c>
      <c r="AA16" s="44"/>
      <c r="AB16" s="71" t="s">
        <v>54</v>
      </c>
      <c r="AC16" s="72">
        <v>1.1458333333333334E-2</v>
      </c>
      <c r="AD16" s="25">
        <f t="shared" si="14"/>
        <v>2.5462962962962965E-3</v>
      </c>
      <c r="AE16" s="26">
        <f>IF(AC16&gt;0,RANK(AC16,AC$13:AC$18,1),)</f>
        <v>1</v>
      </c>
      <c r="AF16" s="44"/>
      <c r="AG16" s="71" t="s">
        <v>65</v>
      </c>
      <c r="AH16" s="72">
        <v>1.1562499999999998E-2</v>
      </c>
      <c r="AI16" s="25">
        <f t="shared" si="15"/>
        <v>2.5694444444444441E-3</v>
      </c>
      <c r="AJ16" s="26">
        <f>IF(AH16&gt;0,RANK(AH16,AH$13:AH$18,1),)</f>
        <v>5</v>
      </c>
      <c r="AK16" s="44"/>
      <c r="AL16" s="71" t="s">
        <v>54</v>
      </c>
      <c r="AM16" s="72">
        <v>1.045138888888889E-2</v>
      </c>
      <c r="AN16" s="25">
        <f t="shared" si="16"/>
        <v>2.3277035387280379E-3</v>
      </c>
      <c r="AO16" s="26">
        <f>IF(AM16&gt;0,RANK(AM16,AM$13:AM$18,1),)</f>
        <v>5</v>
      </c>
      <c r="AP16" s="44"/>
      <c r="AQ16" s="71" t="s">
        <v>71</v>
      </c>
      <c r="AR16" s="72">
        <v>1.1087962962962964E-2</v>
      </c>
      <c r="AS16" s="25">
        <f t="shared" si="17"/>
        <v>3.0294980773122853E-3</v>
      </c>
      <c r="AT16" s="26">
        <f>IF(AR16&gt;0,RANK(AR16,AR$13:AR$18,1),)</f>
        <v>2</v>
      </c>
      <c r="AU16" s="44"/>
      <c r="AV16" s="50"/>
      <c r="AW16" s="51"/>
      <c r="AX16" s="52"/>
      <c r="AY16" s="53"/>
      <c r="AZ16" s="44"/>
      <c r="BB16" s="58"/>
      <c r="BC16" s="59"/>
      <c r="BG16" s="58"/>
      <c r="BH16" s="59"/>
      <c r="BL16" s="58"/>
      <c r="BM16" s="59"/>
      <c r="BQ16" s="58"/>
      <c r="BR16" s="59"/>
      <c r="BV16" s="58"/>
      <c r="BW16" s="59"/>
      <c r="CA16" s="58"/>
      <c r="CB16" s="59"/>
      <c r="CF16" s="58"/>
      <c r="CG16" s="59"/>
    </row>
    <row r="17" spans="1:85" ht="20.100000000000001" customHeight="1">
      <c r="A17" s="74" t="str">
        <f>A8</f>
        <v>Daylight Chasers</v>
      </c>
      <c r="E17" s="65">
        <f t="shared" si="9"/>
        <v>8.8541666666666671E-2</v>
      </c>
      <c r="F17" s="66">
        <f>RANK(E17,E$13:E$18,2)</f>
        <v>4</v>
      </c>
      <c r="H17" s="71" t="s">
        <v>64</v>
      </c>
      <c r="I17" s="72">
        <v>1.0277777777777778E-2</v>
      </c>
      <c r="J17" s="25">
        <f t="shared" si="10"/>
        <v>2.8081360048573165E-3</v>
      </c>
      <c r="K17" s="26">
        <f>IF(I17&gt;0,RANK(I17,I$13:I$18,1),)</f>
        <v>3</v>
      </c>
      <c r="L17" s="44"/>
      <c r="M17" s="71" t="s">
        <v>72</v>
      </c>
      <c r="N17" s="72">
        <v>1.0439814814814813E-2</v>
      </c>
      <c r="O17" s="25">
        <f t="shared" si="11"/>
        <v>3.2122507122507118E-3</v>
      </c>
      <c r="P17" s="26">
        <f>IF(N17&gt;0,RANK(N17,N$13:N$18,1),)</f>
        <v>4</v>
      </c>
      <c r="Q17" s="44"/>
      <c r="R17" s="71" t="s">
        <v>68</v>
      </c>
      <c r="S17" s="72">
        <v>1.0300925925925927E-2</v>
      </c>
      <c r="T17" s="25">
        <f t="shared" si="12"/>
        <v>2.9685665492581921E-3</v>
      </c>
      <c r="U17" s="26">
        <f>IF(S17&gt;0,RANK(S17,S$13:S$18,1),)</f>
        <v>3</v>
      </c>
      <c r="V17" s="44"/>
      <c r="W17" s="71" t="s">
        <v>45</v>
      </c>
      <c r="X17" s="72">
        <v>1.0949074074074075E-2</v>
      </c>
      <c r="Y17" s="25">
        <f t="shared" si="13"/>
        <v>2.4331275720164609E-3</v>
      </c>
      <c r="Z17" s="26">
        <f>IF(X17&gt;0,RANK(X17,X$13:X$18,1),)</f>
        <v>4</v>
      </c>
      <c r="AA17" s="44"/>
      <c r="AB17" s="71" t="s">
        <v>64</v>
      </c>
      <c r="AC17" s="72">
        <v>1.2893518518518519E-2</v>
      </c>
      <c r="AD17" s="25">
        <f t="shared" si="14"/>
        <v>2.8652263374485598E-3</v>
      </c>
      <c r="AE17" s="26">
        <f>IF(AC17&gt;0,RANK(AC17,AC$13:AC$18,1),)</f>
        <v>4</v>
      </c>
      <c r="AF17" s="44"/>
      <c r="AG17" s="71" t="s">
        <v>68</v>
      </c>
      <c r="AH17" s="72">
        <v>1.1689814814814814E-2</v>
      </c>
      <c r="AI17" s="25">
        <f t="shared" si="15"/>
        <v>2.5977366255144031E-3</v>
      </c>
      <c r="AJ17" s="26">
        <f>IF(AH17&gt;0,RANK(AH17,AH$13:AH$18,1),)</f>
        <v>6</v>
      </c>
      <c r="AK17" s="44"/>
      <c r="AL17" s="71" t="s">
        <v>45</v>
      </c>
      <c r="AM17" s="72">
        <v>1.0231481481481482E-2</v>
      </c>
      <c r="AN17" s="25">
        <f t="shared" si="16"/>
        <v>2.278726387857791E-3</v>
      </c>
      <c r="AO17" s="26">
        <f>IF(AM17&gt;0,RANK(AM17,AM$13:AM$18,1),)</f>
        <v>4</v>
      </c>
      <c r="AP17" s="44"/>
      <c r="AQ17" s="71" t="s">
        <v>72</v>
      </c>
      <c r="AR17" s="72">
        <v>1.1759259259259259E-2</v>
      </c>
      <c r="AS17" s="25">
        <f t="shared" si="17"/>
        <v>3.2129123659178304E-3</v>
      </c>
      <c r="AT17" s="26">
        <f>IF(AR17&gt;0,RANK(AR17,AR$13:AR$18,1),)</f>
        <v>4</v>
      </c>
      <c r="AU17" s="44"/>
      <c r="AV17" s="50"/>
      <c r="AW17" s="51"/>
      <c r="AX17" s="52"/>
      <c r="AY17" s="53"/>
      <c r="AZ17" s="44"/>
      <c r="BB17" s="58"/>
      <c r="BC17" s="59"/>
      <c r="BG17" s="58"/>
      <c r="BH17" s="59"/>
      <c r="BL17" s="58"/>
      <c r="BM17" s="59"/>
      <c r="BQ17" s="58"/>
      <c r="BR17" s="59"/>
      <c r="BV17" s="58"/>
      <c r="BW17" s="59"/>
      <c r="CA17" s="58"/>
      <c r="CB17" s="59"/>
      <c r="CF17" s="58"/>
      <c r="CG17" s="59"/>
    </row>
    <row r="18" spans="1:85" ht="20.100000000000001" customHeight="1">
      <c r="A18" s="74" t="str">
        <f>A9</f>
        <v>The Undeserving Favourites</v>
      </c>
      <c r="E18" s="65">
        <f t="shared" si="9"/>
        <v>8.6076388888888897E-2</v>
      </c>
      <c r="F18" s="66">
        <f>RANK(E18,E$13:E$18,2)</f>
        <v>2</v>
      </c>
      <c r="H18" s="71" t="s">
        <v>63</v>
      </c>
      <c r="I18" s="72">
        <v>9.8032407407407408E-3</v>
      </c>
      <c r="J18" s="25">
        <f t="shared" si="10"/>
        <v>2.6784810767051205E-3</v>
      </c>
      <c r="K18" s="26">
        <f>IF(I18&gt;0,RANK(I18,I$13:I$18,1),)</f>
        <v>1</v>
      </c>
      <c r="L18" s="44"/>
      <c r="M18" s="71" t="s">
        <v>58</v>
      </c>
      <c r="N18" s="72">
        <v>9.6874999999999999E-3</v>
      </c>
      <c r="O18" s="25">
        <f t="shared" si="11"/>
        <v>2.9807692307692308E-3</v>
      </c>
      <c r="P18" s="26">
        <f>IF(N18&gt;0,RANK(N18,N$13:N$18,1),)</f>
        <v>1</v>
      </c>
      <c r="Q18" s="44"/>
      <c r="R18" s="71" t="s">
        <v>69</v>
      </c>
      <c r="S18" s="72">
        <v>1.0902777777777777E-2</v>
      </c>
      <c r="T18" s="25">
        <f t="shared" si="12"/>
        <v>3.1420108869676588E-3</v>
      </c>
      <c r="U18" s="26">
        <f>IF(S18&gt;0,RANK(S18,S$13:S$18,1),)</f>
        <v>6</v>
      </c>
      <c r="V18" s="44"/>
      <c r="W18" s="71" t="s">
        <v>49</v>
      </c>
      <c r="X18" s="72">
        <v>1.1157407407407408E-2</v>
      </c>
      <c r="Y18" s="25">
        <f t="shared" si="13"/>
        <v>2.4794238683127573E-3</v>
      </c>
      <c r="Z18" s="26">
        <f>IF(X18&gt;0,RANK(X18,X$13:X$18,1),)</f>
        <v>5</v>
      </c>
      <c r="AA18" s="44"/>
      <c r="AB18" s="71" t="s">
        <v>63</v>
      </c>
      <c r="AC18" s="72">
        <v>1.1770833333333333E-2</v>
      </c>
      <c r="AD18" s="25">
        <f t="shared" si="14"/>
        <v>2.6157407407407405E-3</v>
      </c>
      <c r="AE18" s="26">
        <f>IF(AC18&gt;0,RANK(AC18,AC$13:AC$18,1),)</f>
        <v>2</v>
      </c>
      <c r="AF18" s="44"/>
      <c r="AG18" s="71" t="s">
        <v>49</v>
      </c>
      <c r="AH18" s="72">
        <v>1.0555555555555554E-2</v>
      </c>
      <c r="AI18" s="25">
        <f t="shared" si="15"/>
        <v>2.3456790123456786E-3</v>
      </c>
      <c r="AJ18" s="26">
        <f>IF(AH18&gt;0,RANK(AH18,AH$13:AH$18,1),)</f>
        <v>1</v>
      </c>
      <c r="AK18" s="44"/>
      <c r="AL18" s="71" t="s">
        <v>58</v>
      </c>
      <c r="AM18" s="72">
        <v>1.1516203703703702E-2</v>
      </c>
      <c r="AN18" s="25">
        <f t="shared" si="16"/>
        <v>2.5648560587313365E-3</v>
      </c>
      <c r="AO18" s="26">
        <f>IF(AM18&gt;0,RANK(AM18,AM$13:AM$18,1),)</f>
        <v>6</v>
      </c>
      <c r="AP18" s="44"/>
      <c r="AQ18" s="71" t="s">
        <v>69</v>
      </c>
      <c r="AR18" s="72">
        <v>1.068287037037037E-2</v>
      </c>
      <c r="AS18" s="25">
        <f t="shared" si="17"/>
        <v>2.9188170410848007E-3</v>
      </c>
      <c r="AT18" s="26">
        <f>IF(AR18&gt;0,RANK(AR18,AR$13:AR$18,1),)</f>
        <v>1</v>
      </c>
      <c r="AU18" s="44"/>
      <c r="AV18" s="50"/>
      <c r="AW18" s="51"/>
      <c r="AX18" s="52"/>
      <c r="AY18" s="53"/>
      <c r="AZ18" s="44"/>
      <c r="BB18" s="58"/>
      <c r="BC18" s="59"/>
      <c r="BG18" s="58"/>
      <c r="BH18" s="59"/>
      <c r="BL18" s="58"/>
      <c r="BM18" s="59"/>
      <c r="BQ18" s="58"/>
      <c r="BR18" s="59"/>
      <c r="BV18" s="58"/>
      <c r="BW18" s="59"/>
      <c r="CA18" s="58"/>
      <c r="CB18" s="59"/>
      <c r="CF18" s="58"/>
      <c r="CG18" s="59"/>
    </row>
    <row r="20" spans="1:85" ht="30" customHeight="1"/>
    <row r="21" spans="1:85" ht="30" customHeight="1"/>
    <row r="22" spans="1:85">
      <c r="A22" s="54" t="s">
        <v>0</v>
      </c>
    </row>
    <row r="23" spans="1:85">
      <c r="A23" s="54">
        <v>1</v>
      </c>
      <c r="B23" s="54" t="str">
        <f>'Team Selection'!D3</f>
        <v>Andrew Coles</v>
      </c>
      <c r="C23" s="54" t="str">
        <f>'Team Selection'!F3</f>
        <v>David Mellings</v>
      </c>
      <c r="D23" s="54" t="str">
        <f>'Team Selection'!H3</f>
        <v>Glenn Goodman</v>
      </c>
      <c r="E23" s="54" t="str">
        <f>'Team Selection'!J3</f>
        <v>Franky Reid</v>
      </c>
      <c r="F23" s="59"/>
    </row>
    <row r="24" spans="1:85">
      <c r="A24" s="54">
        <v>2</v>
      </c>
      <c r="B24" s="54" t="str">
        <f>'Team Selection'!D4</f>
        <v>Joji Mori</v>
      </c>
      <c r="C24" s="54" t="str">
        <f>'Team Selection'!F4</f>
        <v>Kate Seibold</v>
      </c>
      <c r="D24" s="54" t="str">
        <f>'Team Selection'!H4</f>
        <v>Tony Hally</v>
      </c>
      <c r="E24" s="54" t="str">
        <f>'Team Selection'!J4</f>
        <v>Robyn Fletcher</v>
      </c>
      <c r="F24" s="59"/>
    </row>
    <row r="25" spans="1:85">
      <c r="A25" s="54">
        <v>3</v>
      </c>
      <c r="B25" s="54" t="str">
        <f>'Team Selection'!D5</f>
        <v>Paul Munro</v>
      </c>
      <c r="C25" s="54" t="str">
        <f>'Team Selection'!F5</f>
        <v>Mark Stodden</v>
      </c>
      <c r="D25" s="54" t="str">
        <f>'Team Selection'!H5</f>
        <v>Ewen Vowels</v>
      </c>
      <c r="E25" s="54" t="str">
        <f>'Team Selection'!J5</f>
        <v>James Chiriano</v>
      </c>
      <c r="F25" s="59"/>
    </row>
    <row r="26" spans="1:85">
      <c r="A26" s="54">
        <v>4</v>
      </c>
      <c r="B26" s="54" t="str">
        <f>'Team Selection'!D6</f>
        <v>Simon Bevege</v>
      </c>
      <c r="C26" s="54" t="str">
        <f>'Team Selection'!F6</f>
        <v>Anthony Mithen</v>
      </c>
      <c r="D26" s="54" t="str">
        <f>'Team Selection'!H6</f>
        <v>Dale Nardella</v>
      </c>
      <c r="E26" s="54" t="str">
        <f>'Team Selection'!J6</f>
        <v>Ross Prickett</v>
      </c>
      <c r="F26" s="59"/>
    </row>
    <row r="27" spans="1:85">
      <c r="A27" s="54">
        <v>5</v>
      </c>
      <c r="B27" s="54" t="str">
        <f>'Team Selection'!D7</f>
        <v>David Venour</v>
      </c>
      <c r="C27" s="54" t="str">
        <f>'Team Selection'!F7</f>
        <v>Glenn Carroll</v>
      </c>
      <c r="D27" s="54" t="str">
        <f>'Team Selection'!H7</f>
        <v>Chris Osborne</v>
      </c>
      <c r="E27" s="54" t="str">
        <f>'Team Selection'!J7</f>
        <v>Martin Duchovny</v>
      </c>
      <c r="F27" s="59"/>
      <c r="I27" s="59"/>
    </row>
    <row r="28" spans="1:85">
      <c r="A28" s="54">
        <v>6</v>
      </c>
      <c r="B28" s="54" t="str">
        <f>'Team Selection'!D8</f>
        <v>Stephen Paine</v>
      </c>
      <c r="C28" s="54" t="str">
        <f>'Team Selection'!F8</f>
        <v>Richard Does</v>
      </c>
      <c r="D28" s="54" t="str">
        <f>'Team Selection'!H8</f>
        <v>Robyn Millard</v>
      </c>
      <c r="E28" s="54" t="str">
        <f>'Team Selection'!J8</f>
        <v>Rory Heddles</v>
      </c>
      <c r="F28" s="59"/>
      <c r="I28" s="59"/>
    </row>
    <row r="29" spans="1:85">
      <c r="I29" s="51"/>
      <c r="N29" s="51"/>
      <c r="S29" s="51"/>
      <c r="X29" s="51"/>
      <c r="AC29" s="51"/>
      <c r="AH29" s="51"/>
      <c r="AM29" s="51"/>
      <c r="AR29" s="51"/>
    </row>
    <row r="30" spans="1:85">
      <c r="I30" s="51"/>
      <c r="N30" s="51"/>
      <c r="S30" s="51"/>
      <c r="X30" s="51"/>
      <c r="AC30" s="51"/>
      <c r="AH30" s="51"/>
      <c r="AM30" s="51"/>
      <c r="AR30" s="51"/>
    </row>
    <row r="31" spans="1:85">
      <c r="I31" s="51"/>
      <c r="S31" s="51"/>
      <c r="X31" s="51"/>
      <c r="AC31" s="51"/>
      <c r="AH31" s="51"/>
      <c r="AM31" s="51"/>
      <c r="AR31" s="51"/>
    </row>
    <row r="32" spans="1:85">
      <c r="I32" s="51"/>
      <c r="S32" s="51"/>
      <c r="X32" s="51"/>
      <c r="AC32" s="51"/>
      <c r="AH32" s="51"/>
      <c r="AM32" s="51"/>
      <c r="AR32" s="51"/>
    </row>
    <row r="33" spans="9:44">
      <c r="I33" s="51"/>
      <c r="S33" s="51"/>
      <c r="X33" s="51"/>
      <c r="AC33" s="51"/>
      <c r="AH33" s="51"/>
      <c r="AM33" s="51"/>
      <c r="AR33" s="51"/>
    </row>
    <row r="41" spans="9:44">
      <c r="L41" s="76"/>
    </row>
    <row r="42" spans="9:44">
      <c r="L42" s="76"/>
    </row>
    <row r="43" spans="9:44">
      <c r="L43" s="44"/>
    </row>
    <row r="44" spans="9:44">
      <c r="L44" s="44"/>
    </row>
    <row r="45" spans="9:44">
      <c r="L45" s="44"/>
    </row>
    <row r="46" spans="9:44">
      <c r="L46" s="44"/>
    </row>
    <row r="47" spans="9:44">
      <c r="L47" s="44"/>
      <c r="N47" s="58"/>
      <c r="O47" s="59"/>
    </row>
    <row r="48" spans="9:44">
      <c r="L48" s="44"/>
    </row>
    <row r="49" spans="8:86">
      <c r="L49" s="44"/>
    </row>
    <row r="50" spans="8:86">
      <c r="I50" s="58"/>
      <c r="J50" s="59"/>
    </row>
    <row r="51" spans="8:86">
      <c r="H51" s="62" t="s">
        <v>53</v>
      </c>
      <c r="J51" s="76"/>
      <c r="N51" s="117"/>
      <c r="O51" s="115"/>
      <c r="P51" s="116"/>
      <c r="CF51" s="57"/>
      <c r="CH51" s="57"/>
    </row>
    <row r="52" spans="8:86">
      <c r="H52" s="72">
        <f>I4</f>
        <v>9.4212962962962957E-3</v>
      </c>
      <c r="L52" s="44"/>
      <c r="N52" s="57"/>
      <c r="O52" s="59"/>
      <c r="P52" s="57"/>
      <c r="Q52" s="115"/>
      <c r="R52" s="60"/>
      <c r="S52" s="57"/>
      <c r="T52" s="59"/>
      <c r="U52" s="57"/>
      <c r="W52" s="60"/>
      <c r="X52" s="57"/>
      <c r="Y52" s="59"/>
      <c r="Z52" s="57"/>
      <c r="AB52" s="60"/>
      <c r="AC52" s="57"/>
      <c r="AD52" s="59"/>
      <c r="AE52" s="57"/>
      <c r="AH52" s="57"/>
      <c r="AI52" s="59"/>
      <c r="AJ52" s="57"/>
      <c r="AL52" s="60"/>
      <c r="AM52" s="57"/>
      <c r="AN52" s="59"/>
      <c r="AO52" s="57"/>
      <c r="AQ52" s="60"/>
      <c r="AR52" s="57"/>
      <c r="AS52" s="59"/>
      <c r="AT52" s="57"/>
      <c r="AV52" s="60"/>
      <c r="AW52" s="57"/>
      <c r="AX52" s="59"/>
      <c r="AY52" s="57"/>
      <c r="BA52" s="60"/>
      <c r="BB52" s="57"/>
      <c r="BC52" s="59"/>
      <c r="BD52" s="57"/>
      <c r="BF52" s="60"/>
      <c r="BG52" s="57"/>
      <c r="BH52" s="59"/>
      <c r="BI52" s="57"/>
      <c r="BK52" s="60"/>
      <c r="BL52" s="57"/>
      <c r="BM52" s="59"/>
      <c r="BN52" s="57"/>
      <c r="BP52" s="60"/>
      <c r="BQ52" s="57"/>
      <c r="BR52" s="59"/>
      <c r="BS52" s="57"/>
      <c r="BU52" s="60"/>
      <c r="BV52" s="57"/>
      <c r="BW52" s="59"/>
      <c r="BX52" s="57"/>
      <c r="BZ52" s="60"/>
      <c r="CA52" s="57"/>
      <c r="CB52" s="59"/>
      <c r="CC52" s="57"/>
      <c r="CE52" s="60"/>
      <c r="CF52" s="57"/>
      <c r="CG52" s="59"/>
      <c r="CH52" s="57"/>
    </row>
    <row r="53" spans="8:86">
      <c r="H53" s="72">
        <f>I5</f>
        <v>1.0856481481481481E-2</v>
      </c>
      <c r="L53" s="44"/>
      <c r="N53" s="57"/>
      <c r="O53" s="59"/>
      <c r="P53" s="57"/>
      <c r="Q53" s="115"/>
      <c r="R53" s="60"/>
      <c r="S53" s="57"/>
      <c r="T53" s="59"/>
      <c r="U53" s="57"/>
      <c r="W53" s="60"/>
      <c r="X53" s="57"/>
      <c r="Y53" s="59"/>
      <c r="Z53" s="57"/>
      <c r="AB53" s="60"/>
      <c r="AC53" s="57"/>
      <c r="AD53" s="59"/>
      <c r="AE53" s="57"/>
      <c r="AH53" s="57"/>
      <c r="AI53" s="59"/>
      <c r="AJ53" s="57"/>
      <c r="AL53" s="60"/>
      <c r="AM53" s="57"/>
      <c r="AN53" s="59"/>
      <c r="AO53" s="57"/>
      <c r="AQ53" s="60"/>
      <c r="AR53" s="57"/>
      <c r="AS53" s="59"/>
      <c r="AT53" s="57"/>
      <c r="AV53" s="60"/>
      <c r="AW53" s="57"/>
      <c r="AX53" s="59"/>
      <c r="AY53" s="57"/>
      <c r="BA53" s="60"/>
      <c r="BB53" s="57"/>
      <c r="BC53" s="59"/>
      <c r="BD53" s="57"/>
      <c r="BF53" s="60"/>
      <c r="BG53" s="57"/>
      <c r="BH53" s="59"/>
      <c r="BI53" s="57"/>
      <c r="BK53" s="60"/>
      <c r="BL53" s="57"/>
      <c r="BM53" s="59"/>
      <c r="BN53" s="57"/>
      <c r="BP53" s="60"/>
      <c r="BQ53" s="57"/>
      <c r="BR53" s="59"/>
      <c r="BS53" s="57"/>
      <c r="BU53" s="60"/>
      <c r="BV53" s="57"/>
      <c r="BW53" s="59"/>
      <c r="BX53" s="57"/>
      <c r="BZ53" s="60"/>
      <c r="CA53" s="57"/>
      <c r="CB53" s="59"/>
      <c r="CC53" s="57"/>
      <c r="CE53" s="60"/>
      <c r="CF53" s="57"/>
      <c r="CG53" s="59"/>
      <c r="CH53" s="57"/>
    </row>
    <row r="54" spans="8:86">
      <c r="H54" s="72">
        <f>I6</f>
        <v>8.8425925925925911E-3</v>
      </c>
      <c r="L54" s="44"/>
      <c r="N54" s="57"/>
      <c r="O54" s="59"/>
      <c r="P54" s="57"/>
      <c r="Q54" s="115"/>
      <c r="R54" s="60"/>
      <c r="S54" s="57"/>
      <c r="T54" s="59"/>
      <c r="U54" s="57"/>
      <c r="W54" s="60"/>
      <c r="X54" s="57"/>
      <c r="Y54" s="59"/>
      <c r="Z54" s="57"/>
      <c r="AB54" s="60"/>
      <c r="AC54" s="57"/>
      <c r="AD54" s="59"/>
      <c r="AE54" s="57"/>
      <c r="AH54" s="57"/>
      <c r="AI54" s="59"/>
      <c r="AJ54" s="57"/>
      <c r="AL54" s="60"/>
      <c r="AM54" s="57"/>
      <c r="AN54" s="59"/>
      <c r="AO54" s="57"/>
      <c r="AQ54" s="60"/>
      <c r="AR54" s="57"/>
      <c r="AS54" s="59"/>
      <c r="AT54" s="57"/>
      <c r="AV54" s="60"/>
      <c r="AW54" s="57"/>
      <c r="AX54" s="59"/>
      <c r="AY54" s="57"/>
      <c r="BA54" s="60"/>
      <c r="BB54" s="57"/>
      <c r="BC54" s="59"/>
      <c r="BD54" s="57"/>
      <c r="BF54" s="60"/>
      <c r="BG54" s="57"/>
      <c r="BH54" s="59"/>
      <c r="BI54" s="57"/>
      <c r="BK54" s="60"/>
      <c r="BL54" s="57"/>
      <c r="BM54" s="59"/>
      <c r="BN54" s="57"/>
      <c r="BP54" s="60"/>
      <c r="BQ54" s="57"/>
      <c r="BR54" s="59"/>
      <c r="BS54" s="57"/>
      <c r="BU54" s="60"/>
      <c r="BV54" s="57"/>
      <c r="BW54" s="59"/>
      <c r="BX54" s="57"/>
      <c r="BZ54" s="60"/>
      <c r="CA54" s="57"/>
      <c r="CB54" s="59"/>
      <c r="CC54" s="57"/>
      <c r="CE54" s="60"/>
      <c r="CF54" s="57"/>
      <c r="CG54" s="59"/>
      <c r="CH54" s="57"/>
    </row>
    <row r="55" spans="8:86">
      <c r="H55" s="72">
        <f>I7</f>
        <v>8.1365740740740738E-3</v>
      </c>
      <c r="L55" s="44"/>
      <c r="N55" s="57"/>
      <c r="O55" s="59"/>
      <c r="P55" s="57"/>
      <c r="Q55" s="115"/>
      <c r="R55" s="60"/>
      <c r="S55" s="57"/>
      <c r="T55" s="59"/>
      <c r="U55" s="57"/>
      <c r="W55" s="60"/>
      <c r="X55" s="57"/>
      <c r="Y55" s="59"/>
      <c r="Z55" s="57"/>
      <c r="AB55" s="60"/>
      <c r="AC55" s="57"/>
      <c r="AD55" s="59"/>
      <c r="AE55" s="57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A55" s="60"/>
      <c r="BB55" s="57"/>
      <c r="BC55" s="59"/>
      <c r="BD55" s="57"/>
      <c r="BF55" s="60"/>
      <c r="BG55" s="57"/>
      <c r="BH55" s="59"/>
      <c r="BI55" s="57"/>
      <c r="BK55" s="60"/>
      <c r="BL55" s="57"/>
      <c r="BM55" s="59"/>
      <c r="BN55" s="57"/>
      <c r="BP55" s="60"/>
      <c r="BQ55" s="57"/>
      <c r="BR55" s="59"/>
      <c r="BS55" s="57"/>
      <c r="BU55" s="60"/>
      <c r="BV55" s="57"/>
      <c r="BW55" s="59"/>
      <c r="BX55" s="57"/>
      <c r="BZ55" s="60"/>
      <c r="CA55" s="57"/>
      <c r="CB55" s="59"/>
      <c r="CC55" s="57"/>
      <c r="CE55" s="60"/>
      <c r="CF55" s="57"/>
      <c r="CG55" s="59"/>
      <c r="CH55" s="57"/>
    </row>
    <row r="56" spans="8:86">
      <c r="H56" s="72">
        <f>I8</f>
        <v>8.4143518518518517E-3</v>
      </c>
      <c r="L56" s="44"/>
      <c r="N56" s="57"/>
      <c r="O56" s="59"/>
      <c r="P56" s="57"/>
      <c r="Q56" s="115"/>
      <c r="R56" s="60"/>
      <c r="S56" s="57"/>
      <c r="T56" s="59"/>
      <c r="U56" s="57"/>
      <c r="W56" s="60"/>
      <c r="X56" s="57"/>
      <c r="Y56" s="59"/>
      <c r="Z56" s="57"/>
      <c r="AB56" s="60"/>
      <c r="AC56" s="57"/>
      <c r="AD56" s="59"/>
      <c r="AE56" s="57"/>
      <c r="AH56" s="57"/>
      <c r="AI56" s="59"/>
      <c r="AJ56" s="57"/>
      <c r="AL56" s="60"/>
      <c r="AM56" s="57"/>
      <c r="AN56" s="59"/>
      <c r="AO56" s="57"/>
      <c r="AQ56" s="60"/>
      <c r="AR56" s="57"/>
      <c r="AS56" s="59"/>
      <c r="AT56" s="57"/>
      <c r="AV56" s="60"/>
      <c r="AW56" s="57"/>
      <c r="AX56" s="59"/>
      <c r="AY56" s="57"/>
      <c r="BA56" s="60"/>
      <c r="BB56" s="57"/>
      <c r="BC56" s="59"/>
      <c r="BD56" s="57"/>
      <c r="BF56" s="60"/>
      <c r="BG56" s="57"/>
      <c r="BH56" s="59"/>
      <c r="BI56" s="57"/>
      <c r="BK56" s="60"/>
      <c r="BL56" s="57"/>
      <c r="BM56" s="59"/>
      <c r="BN56" s="57"/>
      <c r="BP56" s="60"/>
      <c r="BQ56" s="57"/>
      <c r="BR56" s="59"/>
      <c r="BS56" s="57"/>
      <c r="BU56" s="60"/>
      <c r="BV56" s="57"/>
      <c r="BW56" s="59"/>
      <c r="BX56" s="57"/>
      <c r="BZ56" s="60"/>
      <c r="CA56" s="57"/>
      <c r="CB56" s="59"/>
      <c r="CC56" s="57"/>
      <c r="CE56" s="60"/>
      <c r="CF56" s="57"/>
      <c r="CG56" s="59"/>
      <c r="CH56" s="57"/>
    </row>
    <row r="57" spans="8:86">
      <c r="H57" s="72">
        <f>I9</f>
        <v>8.6921296296296312E-3</v>
      </c>
      <c r="L57" s="44"/>
      <c r="N57" s="57"/>
      <c r="O57" s="59"/>
      <c r="P57" s="57"/>
      <c r="Q57" s="115"/>
      <c r="R57" s="60"/>
      <c r="S57" s="57"/>
      <c r="T57" s="59"/>
      <c r="U57" s="57"/>
      <c r="W57" s="60"/>
      <c r="X57" s="57"/>
      <c r="Y57" s="59"/>
      <c r="Z57" s="57"/>
      <c r="AB57" s="60"/>
      <c r="AC57" s="57"/>
      <c r="AD57" s="59"/>
      <c r="AE57" s="57"/>
      <c r="AH57" s="57"/>
      <c r="AI57" s="59"/>
      <c r="AJ57" s="57"/>
      <c r="AL57" s="60"/>
      <c r="AM57" s="57"/>
      <c r="AN57" s="59"/>
      <c r="AO57" s="57"/>
      <c r="AQ57" s="60"/>
      <c r="AR57" s="57"/>
      <c r="AS57" s="59"/>
      <c r="AT57" s="57"/>
      <c r="AV57" s="60"/>
      <c r="AW57" s="57"/>
      <c r="AX57" s="59"/>
      <c r="AY57" s="57"/>
      <c r="BA57" s="60"/>
      <c r="BB57" s="57"/>
      <c r="BC57" s="59"/>
      <c r="BD57" s="57"/>
      <c r="BF57" s="60"/>
      <c r="BG57" s="57"/>
      <c r="BH57" s="59"/>
      <c r="BI57" s="57"/>
      <c r="BK57" s="60"/>
      <c r="BL57" s="57"/>
      <c r="BM57" s="59"/>
      <c r="BN57" s="57"/>
      <c r="BP57" s="60"/>
      <c r="BQ57" s="57"/>
      <c r="BR57" s="59"/>
      <c r="BS57" s="57"/>
      <c r="BU57" s="60"/>
      <c r="BV57" s="57"/>
      <c r="BW57" s="59"/>
      <c r="BX57" s="57"/>
      <c r="BZ57" s="60"/>
      <c r="CA57" s="57"/>
      <c r="CB57" s="59"/>
      <c r="CC57" s="57"/>
      <c r="CE57" s="60"/>
      <c r="CF57" s="57"/>
      <c r="CG57" s="59"/>
      <c r="CH57" s="57"/>
    </row>
    <row r="58" spans="8:86">
      <c r="H58" s="72">
        <f>N4</f>
        <v>9.479166666666667E-3</v>
      </c>
      <c r="L58" s="44"/>
      <c r="N58" s="57"/>
      <c r="O58" s="59"/>
      <c r="P58" s="57"/>
      <c r="Q58" s="115"/>
      <c r="R58" s="60"/>
      <c r="S58" s="57"/>
      <c r="T58" s="59"/>
      <c r="U58" s="57"/>
      <c r="W58" s="60"/>
      <c r="X58" s="57"/>
      <c r="Y58" s="59"/>
      <c r="Z58" s="57"/>
      <c r="AB58" s="60"/>
      <c r="AC58" s="57"/>
      <c r="AD58" s="59"/>
      <c r="AE58" s="57"/>
      <c r="AH58" s="57"/>
      <c r="AI58" s="59"/>
      <c r="AJ58" s="57"/>
      <c r="AL58" s="60"/>
      <c r="AM58" s="57"/>
      <c r="AN58" s="59"/>
      <c r="AO58" s="57"/>
      <c r="AQ58" s="60"/>
      <c r="AR58" s="57"/>
      <c r="AS58" s="59"/>
      <c r="AT58" s="57"/>
      <c r="AV58" s="60"/>
      <c r="AW58" s="57"/>
      <c r="AX58" s="59"/>
      <c r="AY58" s="57"/>
      <c r="BA58" s="60"/>
      <c r="BB58" s="57"/>
      <c r="BC58" s="59"/>
      <c r="BD58" s="57"/>
      <c r="BF58" s="60"/>
      <c r="BG58" s="57"/>
      <c r="BH58" s="59"/>
      <c r="BI58" s="57"/>
      <c r="BK58" s="60"/>
      <c r="BL58" s="57"/>
      <c r="BM58" s="59"/>
      <c r="BN58" s="57"/>
      <c r="BP58" s="60"/>
      <c r="BQ58" s="57"/>
      <c r="BR58" s="59"/>
      <c r="BS58" s="57"/>
      <c r="BU58" s="60"/>
      <c r="BV58" s="57"/>
      <c r="BW58" s="59"/>
      <c r="BX58" s="57"/>
      <c r="BZ58" s="60"/>
      <c r="CA58" s="57"/>
      <c r="CB58" s="59"/>
      <c r="CC58" s="57"/>
      <c r="CE58" s="60"/>
      <c r="CF58" s="57"/>
      <c r="CG58" s="59"/>
      <c r="CH58" s="57"/>
    </row>
    <row r="59" spans="8:86">
      <c r="H59" s="72">
        <f>N5</f>
        <v>9.5949074074074079E-3</v>
      </c>
      <c r="L59" s="44"/>
      <c r="N59" s="57"/>
      <c r="O59" s="59"/>
      <c r="P59" s="57"/>
      <c r="Q59" s="115"/>
      <c r="R59" s="60"/>
      <c r="S59" s="57"/>
      <c r="T59" s="59"/>
      <c r="U59" s="57"/>
      <c r="W59" s="60"/>
      <c r="X59" s="57"/>
      <c r="Y59" s="59"/>
      <c r="Z59" s="57"/>
      <c r="AB59" s="60"/>
      <c r="AC59" s="57"/>
      <c r="AD59" s="59"/>
      <c r="AE59" s="57"/>
      <c r="AH59" s="57"/>
      <c r="AI59" s="59"/>
      <c r="AJ59" s="57"/>
      <c r="AL59" s="60"/>
      <c r="AM59" s="57"/>
      <c r="AN59" s="59"/>
      <c r="AO59" s="57"/>
      <c r="AQ59" s="60"/>
      <c r="AR59" s="57"/>
      <c r="AS59" s="59"/>
      <c r="AT59" s="57"/>
      <c r="AV59" s="60"/>
      <c r="AW59" s="57"/>
      <c r="AX59" s="59"/>
      <c r="AY59" s="57"/>
      <c r="BA59" s="60"/>
      <c r="BB59" s="57"/>
      <c r="BC59" s="59"/>
      <c r="BD59" s="57"/>
      <c r="BF59" s="60"/>
      <c r="BG59" s="57"/>
      <c r="BH59" s="59"/>
      <c r="BI59" s="57"/>
      <c r="BK59" s="60"/>
      <c r="BL59" s="57"/>
      <c r="BM59" s="59"/>
      <c r="BN59" s="57"/>
      <c r="BP59" s="60"/>
      <c r="BQ59" s="57"/>
      <c r="BR59" s="59"/>
      <c r="BS59" s="57"/>
      <c r="BU59" s="60"/>
      <c r="BV59" s="57"/>
      <c r="BW59" s="59"/>
      <c r="BX59" s="57"/>
      <c r="BZ59" s="60"/>
      <c r="CA59" s="57"/>
      <c r="CB59" s="59"/>
      <c r="CC59" s="57"/>
      <c r="CE59" s="60"/>
      <c r="CF59" s="57"/>
      <c r="CG59" s="59"/>
      <c r="CH59" s="57"/>
    </row>
    <row r="60" spans="8:86">
      <c r="H60" s="72">
        <f>N6</f>
        <v>9.5370370370370366E-3</v>
      </c>
      <c r="L60" s="44"/>
      <c r="N60" s="57"/>
      <c r="O60" s="59"/>
      <c r="P60" s="57"/>
      <c r="Q60" s="115"/>
      <c r="R60" s="60"/>
      <c r="S60" s="57"/>
      <c r="T60" s="59"/>
      <c r="U60" s="57"/>
      <c r="W60" s="60"/>
      <c r="X60" s="57"/>
      <c r="Y60" s="59"/>
      <c r="Z60" s="57"/>
      <c r="AB60" s="60"/>
      <c r="AC60" s="57"/>
      <c r="AD60" s="59"/>
      <c r="AE60" s="57"/>
      <c r="AH60" s="57"/>
      <c r="AI60" s="59"/>
      <c r="AJ60" s="57"/>
      <c r="AL60" s="60"/>
      <c r="AM60" s="57"/>
      <c r="AN60" s="59"/>
      <c r="AO60" s="57"/>
      <c r="AQ60" s="60"/>
      <c r="AR60" s="57"/>
      <c r="AS60" s="59"/>
      <c r="AT60" s="57"/>
      <c r="AV60" s="60"/>
      <c r="AW60" s="57"/>
      <c r="AX60" s="59"/>
      <c r="AY60" s="57"/>
      <c r="BA60" s="60"/>
      <c r="BB60" s="57"/>
      <c r="BC60" s="59"/>
      <c r="BD60" s="57"/>
      <c r="BF60" s="60"/>
      <c r="BG60" s="57"/>
      <c r="BH60" s="59"/>
      <c r="BI60" s="57"/>
      <c r="BK60" s="60"/>
      <c r="BL60" s="57"/>
      <c r="BM60" s="59"/>
      <c r="BN60" s="57"/>
      <c r="BP60" s="60"/>
      <c r="BQ60" s="57"/>
      <c r="BR60" s="59"/>
      <c r="BS60" s="57"/>
      <c r="BU60" s="60"/>
      <c r="BV60" s="57"/>
      <c r="BW60" s="59"/>
      <c r="BX60" s="57"/>
      <c r="BZ60" s="60"/>
      <c r="CA60" s="57"/>
      <c r="CB60" s="59"/>
      <c r="CC60" s="57"/>
      <c r="CE60" s="60"/>
      <c r="CF60" s="57"/>
      <c r="CG60" s="59"/>
      <c r="CH60" s="57"/>
    </row>
    <row r="61" spans="8:86">
      <c r="H61" s="72">
        <f>N7</f>
        <v>9.5601851851851855E-3</v>
      </c>
      <c r="L61" s="44"/>
      <c r="N61" s="57"/>
      <c r="O61" s="59"/>
      <c r="P61" s="57"/>
      <c r="Q61" s="115"/>
      <c r="R61" s="60"/>
      <c r="S61" s="57"/>
      <c r="T61" s="59"/>
      <c r="U61" s="57"/>
      <c r="W61" s="60"/>
      <c r="X61" s="57"/>
      <c r="Y61" s="59"/>
      <c r="Z61" s="57"/>
      <c r="AB61" s="60"/>
      <c r="AC61" s="57"/>
      <c r="AD61" s="59"/>
      <c r="AE61" s="57"/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A61" s="60"/>
      <c r="BB61" s="57"/>
      <c r="BC61" s="59"/>
      <c r="BD61" s="57"/>
      <c r="BF61" s="60"/>
      <c r="BG61" s="57"/>
      <c r="BH61" s="59"/>
      <c r="BI61" s="57"/>
      <c r="BK61" s="60"/>
      <c r="BL61" s="57"/>
      <c r="BM61" s="59"/>
      <c r="BN61" s="57"/>
      <c r="BP61" s="60"/>
      <c r="BQ61" s="57"/>
      <c r="BR61" s="59"/>
      <c r="BS61" s="57"/>
      <c r="BU61" s="60"/>
      <c r="BV61" s="57"/>
      <c r="BW61" s="59"/>
      <c r="BX61" s="57"/>
      <c r="BZ61" s="60"/>
      <c r="CA61" s="57"/>
      <c r="CB61" s="59"/>
      <c r="CC61" s="57"/>
      <c r="CE61" s="60"/>
      <c r="CF61" s="57"/>
      <c r="CG61" s="59"/>
      <c r="CH61" s="57"/>
    </row>
    <row r="62" spans="8:86">
      <c r="H62" s="72">
        <f>N8</f>
        <v>9.7685185185185184E-3</v>
      </c>
      <c r="L62" s="44"/>
      <c r="N62" s="57"/>
      <c r="O62" s="59"/>
      <c r="P62" s="57"/>
      <c r="Q62" s="115"/>
      <c r="R62" s="60"/>
      <c r="S62" s="57"/>
      <c r="T62" s="59"/>
      <c r="U62" s="57"/>
      <c r="W62" s="60"/>
      <c r="X62" s="57"/>
      <c r="Y62" s="59"/>
      <c r="Z62" s="57"/>
      <c r="AB62" s="60"/>
      <c r="AC62" s="57"/>
      <c r="AD62" s="59"/>
      <c r="AE62" s="57"/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A62" s="60"/>
      <c r="BB62" s="57"/>
      <c r="BC62" s="59"/>
      <c r="BD62" s="57"/>
      <c r="BF62" s="60"/>
      <c r="BG62" s="57"/>
      <c r="BH62" s="59"/>
      <c r="BI62" s="57"/>
      <c r="BK62" s="60"/>
      <c r="BL62" s="57"/>
      <c r="BM62" s="59"/>
      <c r="BN62" s="57"/>
      <c r="BP62" s="60"/>
      <c r="BQ62" s="57"/>
      <c r="BR62" s="59"/>
      <c r="BS62" s="57"/>
      <c r="BU62" s="60"/>
      <c r="BV62" s="57"/>
      <c r="BW62" s="59"/>
      <c r="BX62" s="57"/>
      <c r="BZ62" s="60"/>
      <c r="CA62" s="57"/>
      <c r="CB62" s="59"/>
      <c r="CC62" s="57"/>
      <c r="CE62" s="60"/>
      <c r="CF62" s="57"/>
      <c r="CG62" s="59"/>
      <c r="CH62" s="57"/>
    </row>
    <row r="63" spans="8:86">
      <c r="H63" s="72">
        <f>N9</f>
        <v>1.0266203703703703E-2</v>
      </c>
      <c r="L63" s="44"/>
      <c r="N63" s="57"/>
      <c r="O63" s="59"/>
      <c r="P63" s="57"/>
      <c r="Q63" s="115"/>
      <c r="R63" s="60"/>
      <c r="S63" s="57"/>
      <c r="T63" s="59"/>
      <c r="U63" s="57"/>
      <c r="W63" s="60"/>
      <c r="X63" s="57"/>
      <c r="Y63" s="59"/>
      <c r="Z63" s="57"/>
      <c r="AB63" s="60"/>
      <c r="AC63" s="57"/>
      <c r="AD63" s="59"/>
      <c r="AE63" s="57"/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A63" s="60"/>
      <c r="BB63" s="57"/>
      <c r="BC63" s="59"/>
      <c r="BD63" s="57"/>
      <c r="BF63" s="60"/>
      <c r="BG63" s="57"/>
      <c r="BH63" s="59"/>
      <c r="BI63" s="57"/>
      <c r="BK63" s="60"/>
      <c r="BL63" s="57"/>
      <c r="BM63" s="59"/>
      <c r="BN63" s="57"/>
      <c r="BP63" s="60"/>
      <c r="BQ63" s="57"/>
      <c r="BR63" s="59"/>
      <c r="BS63" s="57"/>
      <c r="BU63" s="60"/>
      <c r="BV63" s="57"/>
      <c r="BW63" s="59"/>
      <c r="BX63" s="57"/>
      <c r="BZ63" s="60"/>
      <c r="CA63" s="57"/>
      <c r="CB63" s="59"/>
      <c r="CC63" s="57"/>
      <c r="CE63" s="60"/>
      <c r="CF63" s="57"/>
      <c r="CG63" s="59"/>
      <c r="CH63" s="57"/>
    </row>
    <row r="64" spans="8:86">
      <c r="H64" s="72">
        <f>S4</f>
        <v>7.905092592592592E-3</v>
      </c>
      <c r="L64" s="44"/>
      <c r="N64" s="57"/>
      <c r="O64" s="59"/>
      <c r="P64" s="57"/>
      <c r="Q64" s="115"/>
      <c r="R64" s="60"/>
      <c r="S64" s="57"/>
      <c r="T64" s="59"/>
      <c r="U64" s="57"/>
      <c r="W64" s="60"/>
      <c r="X64" s="57"/>
      <c r="Y64" s="59"/>
      <c r="Z64" s="57"/>
      <c r="AB64" s="60"/>
      <c r="AC64" s="57"/>
      <c r="AD64" s="59"/>
      <c r="AE64" s="57"/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A64" s="60"/>
      <c r="BB64" s="57"/>
      <c r="BC64" s="59"/>
      <c r="BD64" s="57"/>
      <c r="BF64" s="60"/>
      <c r="BG64" s="57"/>
      <c r="BH64" s="59"/>
      <c r="BI64" s="57"/>
      <c r="BK64" s="60"/>
      <c r="BL64" s="57"/>
      <c r="BM64" s="59"/>
      <c r="BN64" s="57"/>
      <c r="BP64" s="60"/>
      <c r="BQ64" s="57"/>
      <c r="BR64" s="59"/>
      <c r="BS64" s="57"/>
      <c r="BU64" s="60"/>
      <c r="BV64" s="57"/>
      <c r="BW64" s="59"/>
      <c r="BX64" s="57"/>
      <c r="BZ64" s="60"/>
      <c r="CA64" s="57"/>
      <c r="CB64" s="59"/>
      <c r="CC64" s="57"/>
      <c r="CE64" s="60"/>
      <c r="CF64" s="57"/>
      <c r="CG64" s="59"/>
      <c r="CH64" s="57"/>
    </row>
    <row r="65" spans="8:86">
      <c r="H65" s="72">
        <f>S5</f>
        <v>9.3749999999999997E-3</v>
      </c>
      <c r="L65" s="44"/>
      <c r="N65" s="57"/>
      <c r="O65" s="59"/>
      <c r="P65" s="57"/>
      <c r="Q65" s="115"/>
      <c r="R65" s="60"/>
      <c r="S65" s="57"/>
      <c r="T65" s="59"/>
      <c r="U65" s="57"/>
      <c r="W65" s="60"/>
      <c r="X65" s="57"/>
      <c r="Y65" s="59"/>
      <c r="Z65" s="57"/>
      <c r="AB65" s="60"/>
      <c r="AC65" s="57"/>
      <c r="AD65" s="59"/>
      <c r="AE65" s="57"/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A65" s="60"/>
      <c r="BB65" s="57"/>
      <c r="BC65" s="59"/>
      <c r="BD65" s="57"/>
      <c r="BF65" s="60"/>
      <c r="BG65" s="57"/>
      <c r="BH65" s="59"/>
      <c r="BI65" s="57"/>
      <c r="BK65" s="60"/>
      <c r="BL65" s="57"/>
      <c r="BM65" s="59"/>
      <c r="BN65" s="57"/>
      <c r="BP65" s="60"/>
      <c r="BQ65" s="57"/>
      <c r="BR65" s="59"/>
      <c r="BS65" s="57"/>
      <c r="BU65" s="60"/>
      <c r="BV65" s="57"/>
      <c r="BW65" s="59"/>
      <c r="BX65" s="57"/>
      <c r="BZ65" s="60"/>
      <c r="CA65" s="57"/>
      <c r="CB65" s="59"/>
      <c r="CC65" s="57"/>
      <c r="CE65" s="60"/>
      <c r="CF65" s="57"/>
      <c r="CG65" s="59"/>
      <c r="CH65" s="57"/>
    </row>
    <row r="66" spans="8:86">
      <c r="H66" s="72">
        <f>S6</f>
        <v>8.3564814814814804E-3</v>
      </c>
      <c r="L66" s="44"/>
      <c r="N66" s="57"/>
      <c r="O66" s="59"/>
      <c r="P66" s="57"/>
      <c r="Q66" s="115"/>
      <c r="R66" s="60"/>
      <c r="S66" s="57"/>
      <c r="T66" s="59"/>
      <c r="U66" s="57"/>
      <c r="W66" s="60"/>
      <c r="X66" s="57"/>
      <c r="Y66" s="59"/>
      <c r="Z66" s="57"/>
      <c r="AB66" s="60"/>
      <c r="AC66" s="57"/>
      <c r="AD66" s="59"/>
      <c r="AE66" s="57"/>
      <c r="AH66" s="57"/>
      <c r="AI66" s="59"/>
      <c r="AJ66" s="57"/>
      <c r="AL66" s="60"/>
      <c r="AM66" s="57"/>
      <c r="AN66" s="59"/>
      <c r="AO66" s="57"/>
      <c r="AQ66" s="60"/>
      <c r="AR66" s="57"/>
      <c r="AS66" s="59"/>
      <c r="AT66" s="57"/>
      <c r="AV66" s="60"/>
      <c r="AW66" s="57"/>
      <c r="AX66" s="59"/>
      <c r="AY66" s="57"/>
      <c r="BA66" s="60"/>
      <c r="BB66" s="57"/>
      <c r="BC66" s="59"/>
      <c r="BD66" s="57"/>
      <c r="BF66" s="60"/>
      <c r="BG66" s="57"/>
      <c r="BH66" s="59"/>
      <c r="BI66" s="57"/>
      <c r="BK66" s="60"/>
      <c r="BL66" s="57"/>
      <c r="BM66" s="59"/>
      <c r="BN66" s="57"/>
      <c r="BP66" s="60"/>
      <c r="BQ66" s="57"/>
      <c r="BR66" s="59"/>
      <c r="BS66" s="57"/>
      <c r="BU66" s="60"/>
      <c r="BV66" s="57"/>
      <c r="BW66" s="59"/>
      <c r="BX66" s="57"/>
      <c r="BZ66" s="60"/>
      <c r="CA66" s="57"/>
      <c r="CB66" s="59"/>
      <c r="CC66" s="57"/>
      <c r="CE66" s="60"/>
      <c r="CF66" s="57"/>
      <c r="CG66" s="59"/>
      <c r="CH66" s="57"/>
    </row>
    <row r="67" spans="8:86">
      <c r="H67" s="72">
        <f>S7</f>
        <v>9.6759259259259264E-3</v>
      </c>
      <c r="L67" s="44"/>
      <c r="N67" s="57"/>
      <c r="O67" s="59"/>
      <c r="P67" s="57"/>
      <c r="Q67" s="115"/>
      <c r="R67" s="60"/>
      <c r="S67" s="57"/>
      <c r="T67" s="59"/>
      <c r="U67" s="57"/>
      <c r="W67" s="60"/>
      <c r="X67" s="57"/>
      <c r="Y67" s="59"/>
      <c r="Z67" s="57"/>
      <c r="AB67" s="60"/>
      <c r="AC67" s="57"/>
      <c r="AD67" s="59"/>
      <c r="AE67" s="57"/>
      <c r="AH67" s="57"/>
      <c r="AI67" s="59"/>
      <c r="AJ67" s="57"/>
      <c r="AL67" s="60"/>
      <c r="AM67" s="57"/>
      <c r="AN67" s="59"/>
      <c r="AO67" s="57"/>
      <c r="AQ67" s="60"/>
      <c r="AR67" s="57"/>
      <c r="AS67" s="59"/>
      <c r="AT67" s="57"/>
      <c r="AV67" s="60"/>
      <c r="AW67" s="57"/>
      <c r="AX67" s="59"/>
      <c r="AY67" s="57"/>
      <c r="BA67" s="60"/>
      <c r="BB67" s="57"/>
      <c r="BC67" s="59"/>
      <c r="BD67" s="57"/>
      <c r="BF67" s="60"/>
      <c r="BG67" s="57"/>
      <c r="BH67" s="59"/>
      <c r="BI67" s="57"/>
      <c r="BK67" s="60"/>
      <c r="BL67" s="57"/>
      <c r="BM67" s="59"/>
      <c r="BN67" s="57"/>
      <c r="BP67" s="60"/>
      <c r="BQ67" s="57"/>
      <c r="BR67" s="59"/>
      <c r="BS67" s="57"/>
      <c r="BU67" s="60"/>
      <c r="BV67" s="57"/>
      <c r="BW67" s="59"/>
      <c r="BX67" s="57"/>
      <c r="BZ67" s="60"/>
      <c r="CA67" s="57"/>
      <c r="CB67" s="59"/>
      <c r="CC67" s="57"/>
      <c r="CE67" s="60"/>
      <c r="CF67" s="57"/>
      <c r="CG67" s="59"/>
      <c r="CH67" s="57"/>
    </row>
    <row r="68" spans="8:86">
      <c r="H68" s="72">
        <f>S8</f>
        <v>8.8541666666666664E-3</v>
      </c>
      <c r="L68" s="44"/>
      <c r="N68" s="57"/>
      <c r="O68" s="59"/>
      <c r="P68" s="57"/>
      <c r="Q68" s="115"/>
      <c r="R68" s="60"/>
      <c r="S68" s="57"/>
      <c r="T68" s="59"/>
      <c r="U68" s="57"/>
      <c r="W68" s="60"/>
      <c r="X68" s="57"/>
      <c r="Y68" s="59"/>
      <c r="Z68" s="57"/>
      <c r="AB68" s="60"/>
      <c r="AC68" s="57"/>
      <c r="AD68" s="59"/>
      <c r="AE68" s="57"/>
      <c r="AH68" s="57"/>
      <c r="AI68" s="59"/>
      <c r="AJ68" s="57"/>
      <c r="AL68" s="60"/>
      <c r="AM68" s="57"/>
      <c r="AN68" s="59"/>
      <c r="AO68" s="57"/>
      <c r="AQ68" s="60"/>
      <c r="AR68" s="57"/>
      <c r="AS68" s="59"/>
      <c r="AT68" s="57"/>
      <c r="AV68" s="60"/>
      <c r="AW68" s="57"/>
      <c r="AX68" s="59"/>
      <c r="AY68" s="57"/>
      <c r="BA68" s="60"/>
      <c r="BB68" s="57"/>
      <c r="BC68" s="59"/>
      <c r="BD68" s="57"/>
      <c r="BF68" s="60"/>
      <c r="BG68" s="57"/>
      <c r="BH68" s="59"/>
      <c r="BI68" s="57"/>
      <c r="BK68" s="60"/>
      <c r="BL68" s="57"/>
      <c r="BM68" s="59"/>
      <c r="BN68" s="57"/>
      <c r="BP68" s="60"/>
      <c r="BQ68" s="57"/>
      <c r="BR68" s="59"/>
      <c r="BS68" s="57"/>
      <c r="BU68" s="60"/>
      <c r="BV68" s="57"/>
      <c r="BW68" s="59"/>
      <c r="BX68" s="57"/>
      <c r="BZ68" s="60"/>
      <c r="CA68" s="57"/>
      <c r="CB68" s="59"/>
      <c r="CC68" s="57"/>
      <c r="CE68" s="60"/>
      <c r="CF68" s="57"/>
      <c r="CG68" s="59"/>
      <c r="CH68" s="57"/>
    </row>
    <row r="69" spans="8:86">
      <c r="H69" s="72">
        <f>S9</f>
        <v>8.6921296296296312E-3</v>
      </c>
      <c r="L69" s="44"/>
      <c r="N69" s="57"/>
      <c r="O69" s="59"/>
      <c r="P69" s="57"/>
      <c r="Q69" s="115"/>
      <c r="R69" s="60"/>
      <c r="S69" s="57"/>
      <c r="T69" s="59"/>
      <c r="U69" s="57"/>
      <c r="W69" s="60"/>
      <c r="X69" s="57"/>
      <c r="Y69" s="59"/>
      <c r="Z69" s="57"/>
      <c r="AB69" s="60"/>
      <c r="AC69" s="57"/>
      <c r="AD69" s="59"/>
      <c r="AE69" s="57"/>
      <c r="AH69" s="57"/>
      <c r="AI69" s="59"/>
      <c r="AJ69" s="57"/>
      <c r="AL69" s="60"/>
      <c r="AM69" s="57"/>
      <c r="AN69" s="59"/>
      <c r="AO69" s="57"/>
      <c r="AQ69" s="60"/>
      <c r="AR69" s="57"/>
      <c r="AS69" s="59"/>
      <c r="AT69" s="57"/>
      <c r="AV69" s="60"/>
      <c r="AW69" s="57"/>
      <c r="AX69" s="59"/>
      <c r="AY69" s="57"/>
      <c r="BA69" s="60"/>
      <c r="BB69" s="57"/>
      <c r="BC69" s="59"/>
      <c r="BD69" s="57"/>
      <c r="BF69" s="60"/>
      <c r="BG69" s="57"/>
      <c r="BH69" s="59"/>
      <c r="BI69" s="57"/>
      <c r="BK69" s="60"/>
      <c r="BL69" s="57"/>
      <c r="BM69" s="59"/>
      <c r="BN69" s="57"/>
      <c r="BP69" s="60"/>
      <c r="BQ69" s="57"/>
      <c r="BR69" s="59"/>
      <c r="BS69" s="57"/>
      <c r="BU69" s="60"/>
      <c r="BV69" s="57"/>
      <c r="BW69" s="59"/>
      <c r="BX69" s="57"/>
      <c r="BZ69" s="60"/>
      <c r="CA69" s="57"/>
      <c r="CB69" s="59"/>
      <c r="CC69" s="57"/>
      <c r="CE69" s="60"/>
      <c r="CF69" s="57"/>
      <c r="CG69" s="59"/>
      <c r="CH69" s="57"/>
    </row>
    <row r="70" spans="8:86">
      <c r="H70" s="72">
        <f>X4</f>
        <v>1.3564814814814816E-2</v>
      </c>
      <c r="L70" s="44"/>
      <c r="N70" s="57"/>
      <c r="O70" s="59"/>
      <c r="P70" s="57"/>
      <c r="Q70" s="115"/>
      <c r="R70" s="60"/>
      <c r="S70" s="57"/>
      <c r="T70" s="59"/>
      <c r="U70" s="57"/>
      <c r="W70" s="60"/>
      <c r="X70" s="57"/>
      <c r="Y70" s="59"/>
      <c r="Z70" s="57"/>
      <c r="AB70" s="60"/>
      <c r="AC70" s="57"/>
      <c r="AD70" s="59"/>
      <c r="AE70" s="57"/>
      <c r="AH70" s="57"/>
      <c r="AI70" s="59"/>
      <c r="AJ70" s="57"/>
      <c r="AL70" s="60"/>
      <c r="AM70" s="57"/>
      <c r="AN70" s="59"/>
      <c r="AO70" s="57"/>
      <c r="AQ70" s="60"/>
      <c r="AR70" s="57"/>
      <c r="AS70" s="59"/>
      <c r="AT70" s="57"/>
      <c r="AV70" s="60"/>
      <c r="AW70" s="57"/>
      <c r="AX70" s="59"/>
      <c r="AY70" s="57"/>
      <c r="BA70" s="60"/>
      <c r="BB70" s="57"/>
      <c r="BC70" s="59"/>
      <c r="BD70" s="57"/>
      <c r="BF70" s="60"/>
      <c r="BG70" s="57"/>
      <c r="BH70" s="59"/>
      <c r="BI70" s="57"/>
      <c r="BK70" s="60"/>
      <c r="BL70" s="57"/>
      <c r="BM70" s="59"/>
      <c r="BN70" s="57"/>
      <c r="BP70" s="60"/>
      <c r="BQ70" s="57"/>
      <c r="BR70" s="59"/>
      <c r="BS70" s="57"/>
      <c r="BU70" s="60"/>
      <c r="BV70" s="57"/>
      <c r="BW70" s="59"/>
      <c r="BX70" s="57"/>
      <c r="BZ70" s="60"/>
      <c r="CA70" s="57"/>
      <c r="CB70" s="59"/>
      <c r="CC70" s="57"/>
      <c r="CE70" s="60"/>
      <c r="CF70" s="57"/>
      <c r="CG70" s="59"/>
      <c r="CH70" s="57"/>
    </row>
    <row r="71" spans="8:86">
      <c r="H71" s="72">
        <f>X5</f>
        <v>8.1828703703703699E-3</v>
      </c>
      <c r="L71" s="44"/>
      <c r="N71" s="57"/>
      <c r="O71" s="59"/>
      <c r="P71" s="57"/>
      <c r="Q71" s="115"/>
      <c r="R71" s="60"/>
      <c r="S71" s="57"/>
      <c r="T71" s="59"/>
      <c r="U71" s="57"/>
      <c r="W71" s="60"/>
      <c r="X71" s="57"/>
      <c r="Y71" s="59"/>
      <c r="Z71" s="57"/>
      <c r="AB71" s="60"/>
      <c r="AC71" s="57"/>
      <c r="AD71" s="59"/>
      <c r="AE71" s="57"/>
      <c r="AH71" s="57"/>
      <c r="AI71" s="59"/>
      <c r="AJ71" s="57"/>
      <c r="AL71" s="60"/>
      <c r="AM71" s="57"/>
      <c r="AN71" s="59"/>
      <c r="AO71" s="57"/>
      <c r="AQ71" s="60"/>
      <c r="AR71" s="57"/>
      <c r="AS71" s="59"/>
      <c r="AT71" s="57"/>
      <c r="AV71" s="60"/>
      <c r="AW71" s="57"/>
      <c r="AX71" s="59"/>
      <c r="AY71" s="57"/>
      <c r="BA71" s="60"/>
      <c r="BB71" s="57"/>
      <c r="BC71" s="59"/>
      <c r="BD71" s="57"/>
      <c r="BF71" s="60"/>
      <c r="BG71" s="57"/>
      <c r="BH71" s="59"/>
      <c r="BI71" s="57"/>
      <c r="BK71" s="60"/>
      <c r="BL71" s="57"/>
      <c r="BM71" s="59"/>
      <c r="BN71" s="57"/>
      <c r="BP71" s="60"/>
      <c r="BQ71" s="57"/>
      <c r="BR71" s="59"/>
      <c r="BS71" s="57"/>
      <c r="BU71" s="60"/>
      <c r="BV71" s="57"/>
      <c r="BW71" s="59"/>
      <c r="BX71" s="57"/>
      <c r="BZ71" s="60"/>
      <c r="CA71" s="57"/>
      <c r="CB71" s="59"/>
      <c r="CC71" s="57"/>
      <c r="CE71" s="60"/>
      <c r="CF71" s="57"/>
      <c r="CG71" s="59"/>
      <c r="CH71" s="57"/>
    </row>
    <row r="72" spans="8:86">
      <c r="H72" s="72">
        <f>X6</f>
        <v>9.8611111111111104E-3</v>
      </c>
      <c r="L72" s="44"/>
      <c r="N72" s="57"/>
      <c r="O72" s="59"/>
      <c r="P72" s="57"/>
      <c r="Q72" s="115"/>
      <c r="R72" s="60"/>
      <c r="S72" s="57"/>
      <c r="T72" s="59"/>
      <c r="U72" s="57"/>
      <c r="W72" s="60"/>
      <c r="X72" s="57"/>
      <c r="Y72" s="59"/>
      <c r="Z72" s="57"/>
      <c r="AB72" s="60"/>
      <c r="AC72" s="57"/>
      <c r="AD72" s="59"/>
      <c r="AE72" s="57"/>
      <c r="AH72" s="57"/>
      <c r="AI72" s="59"/>
      <c r="AJ72" s="57"/>
      <c r="AL72" s="60"/>
      <c r="AM72" s="57"/>
      <c r="AN72" s="59"/>
      <c r="AO72" s="57"/>
      <c r="AQ72" s="60"/>
      <c r="AR72" s="57"/>
      <c r="AS72" s="59"/>
      <c r="AT72" s="57"/>
      <c r="AV72" s="60"/>
      <c r="AW72" s="57"/>
      <c r="AX72" s="59"/>
      <c r="AY72" s="57"/>
      <c r="BA72" s="60"/>
      <c r="BB72" s="57"/>
      <c r="BC72" s="59"/>
      <c r="BD72" s="57"/>
      <c r="BF72" s="60"/>
      <c r="BG72" s="57"/>
      <c r="BH72" s="59"/>
      <c r="BI72" s="57"/>
      <c r="BK72" s="60"/>
      <c r="BL72" s="57"/>
      <c r="BM72" s="59"/>
      <c r="BN72" s="57"/>
      <c r="BP72" s="60"/>
      <c r="BQ72" s="57"/>
      <c r="BR72" s="59"/>
      <c r="BS72" s="57"/>
      <c r="BU72" s="60"/>
      <c r="BV72" s="57"/>
      <c r="BW72" s="59"/>
      <c r="BX72" s="57"/>
      <c r="BZ72" s="60"/>
      <c r="CA72" s="57"/>
      <c r="CB72" s="59"/>
      <c r="CC72" s="57"/>
      <c r="CE72" s="60"/>
      <c r="CF72" s="57"/>
      <c r="CG72" s="59"/>
      <c r="CH72" s="57"/>
    </row>
    <row r="73" spans="8:86">
      <c r="H73" s="72">
        <f>X7</f>
        <v>9.9537037037037042E-3</v>
      </c>
      <c r="L73" s="44"/>
      <c r="N73" s="57"/>
      <c r="O73" s="59"/>
      <c r="P73" s="57"/>
      <c r="Q73" s="115"/>
      <c r="R73" s="60"/>
      <c r="S73" s="57"/>
      <c r="T73" s="59"/>
      <c r="U73" s="57"/>
      <c r="W73" s="60"/>
      <c r="X73" s="57"/>
      <c r="Y73" s="59"/>
      <c r="Z73" s="57"/>
      <c r="AB73" s="60"/>
      <c r="AC73" s="57"/>
      <c r="AD73" s="59"/>
      <c r="AE73" s="57"/>
      <c r="AH73" s="57"/>
      <c r="AI73" s="59"/>
      <c r="AJ73" s="57"/>
      <c r="AL73" s="60"/>
      <c r="AM73" s="57"/>
      <c r="AN73" s="59"/>
      <c r="AO73" s="57"/>
      <c r="AQ73" s="60"/>
      <c r="AR73" s="57"/>
      <c r="AS73" s="59"/>
      <c r="AT73" s="57"/>
      <c r="AV73" s="60"/>
      <c r="AW73" s="57"/>
      <c r="AX73" s="59"/>
      <c r="AY73" s="57"/>
      <c r="BA73" s="60"/>
      <c r="BB73" s="57"/>
      <c r="BC73" s="59"/>
      <c r="BD73" s="57"/>
      <c r="BF73" s="60"/>
      <c r="BG73" s="57"/>
      <c r="BH73" s="59"/>
      <c r="BI73" s="57"/>
      <c r="BK73" s="60"/>
      <c r="BL73" s="57"/>
      <c r="BM73" s="59"/>
      <c r="BN73" s="57"/>
      <c r="BP73" s="60"/>
      <c r="BQ73" s="57"/>
      <c r="BR73" s="59"/>
      <c r="BS73" s="57"/>
      <c r="BU73" s="60"/>
      <c r="BV73" s="57"/>
      <c r="BW73" s="59"/>
      <c r="BX73" s="57"/>
      <c r="BZ73" s="60"/>
      <c r="CA73" s="57"/>
      <c r="CB73" s="59"/>
      <c r="CC73" s="57"/>
      <c r="CE73" s="60"/>
      <c r="CF73" s="57"/>
      <c r="CG73" s="59"/>
      <c r="CH73" s="57"/>
    </row>
    <row r="74" spans="8:86">
      <c r="H74" s="72">
        <f>X8</f>
        <v>1.0104166666666668E-2</v>
      </c>
      <c r="L74" s="44"/>
      <c r="N74" s="57"/>
      <c r="O74" s="59"/>
      <c r="P74" s="57"/>
      <c r="Q74" s="115"/>
      <c r="R74" s="60"/>
      <c r="S74" s="57"/>
      <c r="T74" s="59"/>
      <c r="U74" s="57"/>
      <c r="W74" s="60"/>
      <c r="X74" s="57"/>
      <c r="Y74" s="59"/>
      <c r="Z74" s="57"/>
      <c r="AB74" s="60"/>
      <c r="AC74" s="57"/>
      <c r="AD74" s="59"/>
      <c r="AE74" s="57"/>
      <c r="AH74" s="57"/>
      <c r="AI74" s="59"/>
      <c r="AJ74" s="57"/>
      <c r="AL74" s="60"/>
      <c r="AM74" s="57"/>
      <c r="AN74" s="59"/>
      <c r="AO74" s="57"/>
      <c r="AQ74" s="60"/>
      <c r="AR74" s="57"/>
      <c r="AS74" s="59"/>
      <c r="AT74" s="57"/>
      <c r="AV74" s="60"/>
      <c r="AW74" s="57"/>
      <c r="AX74" s="59"/>
      <c r="AY74" s="57"/>
      <c r="BA74" s="60"/>
      <c r="BB74" s="57"/>
      <c r="BC74" s="59"/>
      <c r="BD74" s="57"/>
      <c r="BF74" s="60"/>
      <c r="BG74" s="57"/>
      <c r="BH74" s="59"/>
      <c r="BI74" s="57"/>
      <c r="BK74" s="60"/>
      <c r="BL74" s="57"/>
      <c r="BM74" s="59"/>
      <c r="BN74" s="57"/>
      <c r="BP74" s="60"/>
      <c r="BQ74" s="57"/>
      <c r="BR74" s="59"/>
      <c r="BS74" s="57"/>
      <c r="BU74" s="60"/>
      <c r="BV74" s="57"/>
      <c r="BW74" s="59"/>
      <c r="BX74" s="57"/>
      <c r="BZ74" s="60"/>
      <c r="CA74" s="57"/>
      <c r="CB74" s="59"/>
      <c r="CC74" s="57"/>
      <c r="CE74" s="60"/>
      <c r="CF74" s="57"/>
      <c r="CG74" s="59"/>
      <c r="CH74" s="57"/>
    </row>
    <row r="75" spans="8:86">
      <c r="H75" s="72">
        <f>X9</f>
        <v>9.6874999999999999E-3</v>
      </c>
      <c r="L75" s="44"/>
      <c r="N75" s="57"/>
      <c r="O75" s="59"/>
      <c r="P75" s="57"/>
      <c r="Q75" s="115"/>
      <c r="R75" s="60"/>
      <c r="S75" s="57"/>
      <c r="T75" s="59"/>
      <c r="U75" s="57"/>
      <c r="W75" s="60"/>
      <c r="X75" s="57"/>
      <c r="Y75" s="59"/>
      <c r="Z75" s="57"/>
      <c r="AB75" s="60"/>
      <c r="AC75" s="57"/>
      <c r="AD75" s="59"/>
      <c r="AE75" s="57"/>
      <c r="AH75" s="57"/>
      <c r="AI75" s="59"/>
      <c r="AJ75" s="57"/>
      <c r="AL75" s="60"/>
      <c r="AM75" s="57"/>
      <c r="AN75" s="59"/>
      <c r="AO75" s="57"/>
      <c r="AQ75" s="60"/>
      <c r="AR75" s="57"/>
      <c r="AS75" s="59"/>
      <c r="AT75" s="57"/>
      <c r="AV75" s="60"/>
      <c r="AW75" s="57"/>
      <c r="AX75" s="59"/>
      <c r="AY75" s="57"/>
      <c r="BA75" s="60"/>
      <c r="BB75" s="57"/>
      <c r="BC75" s="59"/>
      <c r="BD75" s="57"/>
      <c r="BF75" s="60"/>
      <c r="BG75" s="57"/>
      <c r="BH75" s="59"/>
      <c r="BI75" s="57"/>
      <c r="BK75" s="60"/>
      <c r="BL75" s="57"/>
      <c r="BM75" s="59"/>
      <c r="BN75" s="57"/>
      <c r="BP75" s="60"/>
      <c r="BQ75" s="57"/>
      <c r="BR75" s="59"/>
      <c r="BS75" s="57"/>
      <c r="BU75" s="60"/>
      <c r="BV75" s="57"/>
      <c r="BW75" s="59"/>
      <c r="BX75" s="57"/>
      <c r="BZ75" s="60"/>
      <c r="CA75" s="57"/>
      <c r="CB75" s="59"/>
      <c r="CC75" s="57"/>
      <c r="CE75" s="60"/>
      <c r="CF75" s="57"/>
      <c r="CG75" s="59"/>
      <c r="CH75" s="57"/>
    </row>
    <row r="76" spans="8:86">
      <c r="H76" s="60"/>
    </row>
    <row r="77" spans="8:86">
      <c r="H77" s="60"/>
    </row>
    <row r="78" spans="8:86">
      <c r="H78" s="60"/>
    </row>
    <row r="79" spans="8:86">
      <c r="H79" s="60"/>
    </row>
    <row r="80" spans="8:86">
      <c r="H80" s="60"/>
    </row>
    <row r="81" spans="8:8">
      <c r="H81" s="60"/>
    </row>
    <row r="82" spans="8:8">
      <c r="H82" s="60"/>
    </row>
    <row r="83" spans="8:8">
      <c r="H83" s="60"/>
    </row>
    <row r="84" spans="8:8">
      <c r="H84" s="60"/>
    </row>
  </sheetData>
  <phoneticPr fontId="0" type="noConversion"/>
  <dataValidations count="6">
    <dataValidation type="list" allowBlank="1" showInputMessage="1" showErrorMessage="1" sqref="AL13 M13 AL4 W4 H13 AQ13 R13 AB4 M4 AB13 R4 AG4 H4 W13 AQ4 AG13">
      <formula1>$B$23:$E$23</formula1>
    </dataValidation>
    <dataValidation type="list" allowBlank="1" showInputMessage="1" showErrorMessage="1" sqref="AQ14 M14 AL5 W5 AL14 AB5 H14 M5 R5 AB14 AQ5 AG5 H5 R14 W14 AG14">
      <formula1>$B$24:$E$24</formula1>
    </dataValidation>
    <dataValidation type="list" allowBlank="1" showInputMessage="1" showErrorMessage="1" sqref="AG15 M15 AL6 W6 AQ15 AB6 H15 M6 AB15 AL15 R6 AQ6 R15 AG6 W15 H6">
      <formula1>$B$25:$E$25</formula1>
    </dataValidation>
    <dataValidation type="list" allowBlank="1" showInputMessage="1" showErrorMessage="1" sqref="H16 M16 R16 W16 AB16 AG16 AL16 AQ16 AQ7 AL7 AG7 AB7 W7 R7 M7 H7">
      <formula1>$B$26:$E$26</formula1>
    </dataValidation>
    <dataValidation type="list" allowBlank="1" showInputMessage="1" showErrorMessage="1" sqref="H17 M17 R17 W17 AB17 AG17 AL17 AQ17 AQ8 AL8 AG8 AB8 W8 R8 M8 H8">
      <formula1>$B$27:$E$27</formula1>
    </dataValidation>
    <dataValidation type="list" allowBlank="1" showInputMessage="1" showErrorMessage="1" sqref="H18 M18 R18 W18 AB18 AG18 AL18 AQ18 AQ9 AL9 AG9 AB9 W9 R9 M9 H9">
      <formula1>$B$28:$E$28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  <ignoredErrors>
    <ignoredError sqref="H52 H53:H57 H70:H75 H64:H69 H58:H6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BO17"/>
  <sheetViews>
    <sheetView showZeros="0" zoomScale="85" zoomScaleNormal="85" workbookViewId="0">
      <pane xSplit="1" topLeftCell="B1" activePane="topRight" state="frozen"/>
      <selection pane="topRight"/>
    </sheetView>
  </sheetViews>
  <sheetFormatPr defaultRowHeight="12.75"/>
  <cols>
    <col min="1" max="1" width="24.140625" style="32" customWidth="1"/>
    <col min="2" max="2" width="14.85546875" style="90" bestFit="1" customWidth="1"/>
    <col min="3" max="3" width="6.7109375" style="32" customWidth="1"/>
    <col min="4" max="4" width="11.42578125" style="32" customWidth="1"/>
    <col min="5" max="5" width="15.7109375" style="148" customWidth="1"/>
    <col min="6" max="6" width="6.7109375" style="149" customWidth="1"/>
    <col min="7" max="7" width="12.7109375" style="149" bestFit="1" customWidth="1"/>
    <col min="8" max="8" width="15.7109375" style="148" customWidth="1"/>
    <col min="9" max="9" width="6.7109375" style="149" customWidth="1"/>
    <col min="10" max="10" width="12.7109375" style="149" bestFit="1" customWidth="1"/>
    <col min="11" max="11" width="15.7109375" style="90" customWidth="1"/>
    <col min="12" max="12" width="6.7109375" style="32" customWidth="1"/>
    <col min="13" max="13" width="11" style="32" bestFit="1" customWidth="1"/>
    <col min="14" max="14" width="15.7109375" style="90" customWidth="1"/>
    <col min="15" max="15" width="6.7109375" style="32" customWidth="1"/>
    <col min="16" max="16" width="11" style="32" bestFit="1" customWidth="1"/>
    <col min="17" max="17" width="15.7109375" style="90" customWidth="1"/>
    <col min="18" max="18" width="6.7109375" style="32" customWidth="1"/>
    <col min="19" max="19" width="11" style="32" bestFit="1" customWidth="1"/>
    <col min="20" max="20" width="15.7109375" style="90" customWidth="1"/>
    <col min="21" max="21" width="6.7109375" style="32" customWidth="1"/>
    <col min="22" max="22" width="11" style="32" bestFit="1" customWidth="1"/>
    <col min="23" max="23" width="15.7109375" style="90" customWidth="1"/>
    <col min="24" max="24" width="6.7109375" style="32" customWidth="1"/>
    <col min="25" max="25" width="11" style="32" bestFit="1" customWidth="1"/>
    <col min="26" max="26" width="15.140625" style="90" bestFit="1" customWidth="1"/>
    <col min="27" max="27" width="6.7109375" style="32" customWidth="1"/>
    <col min="28" max="28" width="11" style="32" bestFit="1" customWidth="1"/>
    <col min="29" max="29" width="15.7109375" style="90" customWidth="1"/>
    <col min="30" max="30" width="6.7109375" style="32" customWidth="1"/>
    <col min="31" max="31" width="11" style="32" bestFit="1" customWidth="1"/>
    <col min="32" max="32" width="15.7109375" style="90" customWidth="1"/>
    <col min="33" max="33" width="6.7109375" style="32" customWidth="1"/>
    <col min="34" max="34" width="11" style="32" bestFit="1" customWidth="1"/>
    <col min="35" max="35" width="15.7109375" style="90" customWidth="1"/>
    <col min="36" max="36" width="6.7109375" style="32" customWidth="1"/>
    <col min="37" max="37" width="11" style="32" bestFit="1" customWidth="1"/>
    <col min="38" max="38" width="15.7109375" style="90" customWidth="1"/>
    <col min="39" max="39" width="6.7109375" style="32" customWidth="1"/>
    <col min="40" max="40" width="11" style="32" bestFit="1" customWidth="1"/>
    <col min="41" max="41" width="15.7109375" style="90" customWidth="1"/>
    <col min="42" max="42" width="6.7109375" style="32" customWidth="1"/>
    <col min="43" max="43" width="11" style="32" bestFit="1" customWidth="1"/>
    <col min="44" max="44" width="15.7109375" style="90" customWidth="1"/>
    <col min="45" max="45" width="6.7109375" style="32" customWidth="1"/>
    <col min="46" max="46" width="11" style="32" bestFit="1" customWidth="1"/>
    <col min="47" max="47" width="15.7109375" style="90" customWidth="1"/>
    <col min="48" max="48" width="6.7109375" style="32" customWidth="1"/>
    <col min="49" max="49" width="11" style="32" bestFit="1" customWidth="1"/>
    <col min="50" max="50" width="52.140625" style="107" customWidth="1"/>
    <col min="51" max="51" width="16" style="107" customWidth="1"/>
    <col min="52" max="67" width="9.140625" style="107"/>
    <col min="68" max="16384" width="9.140625" style="32"/>
  </cols>
  <sheetData>
    <row r="2" spans="1:67">
      <c r="B2" s="98" t="s">
        <v>5</v>
      </c>
      <c r="C2" s="99"/>
      <c r="D2" s="100"/>
      <c r="E2" s="139" t="s">
        <v>12</v>
      </c>
      <c r="F2" s="140"/>
      <c r="G2" s="141"/>
      <c r="H2" s="98" t="s">
        <v>13</v>
      </c>
      <c r="I2" s="99"/>
      <c r="J2" s="100"/>
      <c r="K2" s="98" t="s">
        <v>14</v>
      </c>
      <c r="L2" s="99"/>
      <c r="M2" s="100"/>
      <c r="N2" s="98" t="s">
        <v>15</v>
      </c>
      <c r="O2" s="99"/>
      <c r="P2" s="100"/>
      <c r="Q2" s="98" t="s">
        <v>16</v>
      </c>
      <c r="R2" s="99"/>
      <c r="S2" s="100"/>
      <c r="T2" s="98" t="s">
        <v>17</v>
      </c>
      <c r="U2" s="99"/>
      <c r="V2" s="100"/>
      <c r="W2" s="98" t="s">
        <v>18</v>
      </c>
      <c r="X2" s="99"/>
      <c r="Y2" s="100"/>
      <c r="Z2" s="98" t="s">
        <v>21</v>
      </c>
      <c r="AA2" s="99"/>
      <c r="AB2" s="100"/>
      <c r="AC2" s="98" t="s">
        <v>22</v>
      </c>
      <c r="AD2" s="99"/>
      <c r="AE2" s="100"/>
      <c r="AF2" s="98" t="s">
        <v>23</v>
      </c>
      <c r="AG2" s="99"/>
      <c r="AH2" s="100"/>
      <c r="AI2" s="98" t="s">
        <v>24</v>
      </c>
      <c r="AJ2" s="99"/>
      <c r="AK2" s="100"/>
      <c r="AL2" s="98" t="s">
        <v>25</v>
      </c>
      <c r="AM2" s="99"/>
      <c r="AN2" s="100"/>
      <c r="AO2" s="98" t="s">
        <v>26</v>
      </c>
      <c r="AP2" s="99"/>
      <c r="AQ2" s="100"/>
      <c r="AR2" s="98" t="s">
        <v>51</v>
      </c>
      <c r="AS2" s="99"/>
      <c r="AT2" s="100"/>
      <c r="AU2" s="98" t="s">
        <v>52</v>
      </c>
      <c r="AV2" s="99"/>
      <c r="AW2" s="100"/>
    </row>
    <row r="3" spans="1:67" s="34" customFormat="1" ht="20.100000000000001" customHeight="1">
      <c r="A3" s="91" t="s">
        <v>0</v>
      </c>
      <c r="B3" s="92" t="s">
        <v>6</v>
      </c>
      <c r="C3" s="93" t="s">
        <v>7</v>
      </c>
      <c r="D3" s="94" t="s">
        <v>41</v>
      </c>
      <c r="E3" s="142" t="s">
        <v>6</v>
      </c>
      <c r="F3" s="143" t="s">
        <v>7</v>
      </c>
      <c r="G3" s="144" t="s">
        <v>41</v>
      </c>
      <c r="H3" s="142" t="s">
        <v>6</v>
      </c>
      <c r="I3" s="143" t="s">
        <v>7</v>
      </c>
      <c r="J3" s="144" t="s">
        <v>41</v>
      </c>
      <c r="K3" s="95" t="s">
        <v>6</v>
      </c>
      <c r="L3" s="96" t="s">
        <v>7</v>
      </c>
      <c r="M3" s="97" t="s">
        <v>41</v>
      </c>
      <c r="N3" s="95" t="s">
        <v>6</v>
      </c>
      <c r="O3" s="96" t="s">
        <v>7</v>
      </c>
      <c r="P3" s="97" t="s">
        <v>41</v>
      </c>
      <c r="Q3" s="95" t="s">
        <v>6</v>
      </c>
      <c r="R3" s="96" t="s">
        <v>7</v>
      </c>
      <c r="S3" s="97" t="s">
        <v>41</v>
      </c>
      <c r="T3" s="95" t="s">
        <v>6</v>
      </c>
      <c r="U3" s="96" t="s">
        <v>7</v>
      </c>
      <c r="V3" s="97" t="s">
        <v>41</v>
      </c>
      <c r="W3" s="95" t="s">
        <v>6</v>
      </c>
      <c r="X3" s="96" t="s">
        <v>7</v>
      </c>
      <c r="Y3" s="97" t="s">
        <v>41</v>
      </c>
      <c r="Z3" s="95" t="s">
        <v>6</v>
      </c>
      <c r="AA3" s="96" t="s">
        <v>7</v>
      </c>
      <c r="AB3" s="97" t="s">
        <v>41</v>
      </c>
      <c r="AC3" s="95" t="s">
        <v>6</v>
      </c>
      <c r="AD3" s="96" t="s">
        <v>7</v>
      </c>
      <c r="AE3" s="97" t="s">
        <v>41</v>
      </c>
      <c r="AF3" s="95" t="s">
        <v>6</v>
      </c>
      <c r="AG3" s="96" t="s">
        <v>7</v>
      </c>
      <c r="AH3" s="97" t="s">
        <v>41</v>
      </c>
      <c r="AI3" s="95" t="s">
        <v>6</v>
      </c>
      <c r="AJ3" s="96" t="s">
        <v>7</v>
      </c>
      <c r="AK3" s="97" t="s">
        <v>41</v>
      </c>
      <c r="AL3" s="95" t="s">
        <v>6</v>
      </c>
      <c r="AM3" s="96" t="s">
        <v>7</v>
      </c>
      <c r="AN3" s="97" t="s">
        <v>41</v>
      </c>
      <c r="AO3" s="95" t="s">
        <v>6</v>
      </c>
      <c r="AP3" s="96" t="s">
        <v>7</v>
      </c>
      <c r="AQ3" s="97" t="s">
        <v>41</v>
      </c>
      <c r="AR3" s="95" t="s">
        <v>6</v>
      </c>
      <c r="AS3" s="96" t="s">
        <v>7</v>
      </c>
      <c r="AT3" s="97" t="s">
        <v>41</v>
      </c>
      <c r="AU3" s="95" t="s">
        <v>6</v>
      </c>
      <c r="AV3" s="96" t="s">
        <v>7</v>
      </c>
      <c r="AW3" s="97" t="s">
        <v>41</v>
      </c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s="34" customFormat="1" ht="20.100000000000001" customHeight="1">
      <c r="A4" s="86" t="str">
        <f>'Team Selection'!B3</f>
        <v>Go Franky</v>
      </c>
      <c r="B4" s="87" t="str">
        <f>'Stage Entry'!H4</f>
        <v>Glenn Goodman</v>
      </c>
      <c r="C4" s="88">
        <f>'Stage Entry'!I4</f>
        <v>9.4212962962962957E-3</v>
      </c>
      <c r="D4" s="89">
        <f t="shared" ref="D4:D9" si="0">C4</f>
        <v>9.4212962962962957E-3</v>
      </c>
      <c r="E4" s="87" t="str">
        <f>'Stage Entry'!M4</f>
        <v>David Mellings</v>
      </c>
      <c r="F4" s="88">
        <f>'Stage Entry'!N4</f>
        <v>9.479166666666667E-3</v>
      </c>
      <c r="G4" s="89">
        <f>D4+F4</f>
        <v>1.8900462962962963E-2</v>
      </c>
      <c r="H4" s="87" t="str">
        <f>'Stage Entry'!R4</f>
        <v>Andrew Coles</v>
      </c>
      <c r="I4" s="88">
        <f>'Stage Entry'!S4</f>
        <v>7.905092592592592E-3</v>
      </c>
      <c r="J4" s="89">
        <f>G4+I4</f>
        <v>2.6805555555555555E-2</v>
      </c>
      <c r="K4" s="87" t="str">
        <f>'Stage Entry'!W4</f>
        <v>Franky Reid</v>
      </c>
      <c r="L4" s="88">
        <f>'Stage Entry'!X4</f>
        <v>1.3564814814814816E-2</v>
      </c>
      <c r="M4" s="89">
        <f>J4+L4</f>
        <v>4.0370370370370369E-2</v>
      </c>
      <c r="N4" s="87" t="str">
        <f>'Stage Entry'!AB4</f>
        <v>Glenn Goodman</v>
      </c>
      <c r="O4" s="88">
        <f>'Stage Entry'!AC4</f>
        <v>1.2569444444444446E-2</v>
      </c>
      <c r="P4" s="89">
        <f>M4+O4</f>
        <v>5.2939814814814815E-2</v>
      </c>
      <c r="Q4" s="87" t="str">
        <f>'Stage Entry'!AG4</f>
        <v>David Mellings</v>
      </c>
      <c r="R4" s="88">
        <f>'Stage Entry'!AH4</f>
        <v>1.0694444444444444E-2</v>
      </c>
      <c r="S4" s="89">
        <f>P4+R4</f>
        <v>6.3634259259259252E-2</v>
      </c>
      <c r="T4" s="87" t="str">
        <f>'Stage Entry'!AL4</f>
        <v>Andrew Coles</v>
      </c>
      <c r="U4" s="88">
        <f>'Stage Entry'!AM4</f>
        <v>1.0138888888888888E-2</v>
      </c>
      <c r="V4" s="89">
        <f>S4+U4</f>
        <v>7.3773148148148143E-2</v>
      </c>
      <c r="W4" s="87" t="str">
        <f>'Stage Entry'!AQ4</f>
        <v>Franky Reid</v>
      </c>
      <c r="X4" s="88">
        <f>'Stage Entry'!AR4</f>
        <v>1.503472222222222E-2</v>
      </c>
      <c r="Y4" s="89">
        <f>V4+X4</f>
        <v>8.8807870370370356E-2</v>
      </c>
      <c r="Z4" s="87" t="str">
        <f>'Stage Entry'!H13</f>
        <v>David Mellings</v>
      </c>
      <c r="AA4" s="88">
        <f>'Stage Entry'!I13</f>
        <v>1.0694444444444444E-2</v>
      </c>
      <c r="AB4" s="89">
        <f>Y4+AA4</f>
        <v>9.9502314814814807E-2</v>
      </c>
      <c r="AC4" s="87" t="str">
        <f>'Stage Entry'!M13</f>
        <v>Franky Reid</v>
      </c>
      <c r="AD4" s="88">
        <f>'Stage Entry'!N13</f>
        <v>1.34375E-2</v>
      </c>
      <c r="AE4" s="89">
        <f>AB4+AD4</f>
        <v>0.11293981481481481</v>
      </c>
      <c r="AF4" s="87" t="str">
        <f>'Stage Entry'!R13</f>
        <v>Glenn Goodman</v>
      </c>
      <c r="AG4" s="88">
        <f>'Stage Entry'!S13</f>
        <v>1.0405092592592593E-2</v>
      </c>
      <c r="AH4" s="89">
        <f>AE4+AG4</f>
        <v>0.1233449074074074</v>
      </c>
      <c r="AI4" s="87" t="str">
        <f>'Stage Entry'!W13</f>
        <v>Andrew Coles</v>
      </c>
      <c r="AJ4" s="88">
        <f>'Stage Entry'!X13</f>
        <v>1.0462962962962964E-2</v>
      </c>
      <c r="AK4" s="89">
        <f>AH4+AJ4</f>
        <v>0.13380787037037037</v>
      </c>
      <c r="AL4" s="87" t="str">
        <f>'Stage Entry'!AB13</f>
        <v>David Mellings</v>
      </c>
      <c r="AM4" s="88">
        <f>'Stage Entry'!AC13</f>
        <v>1.3252314814814814E-2</v>
      </c>
      <c r="AN4" s="89">
        <f>AK4+AM4</f>
        <v>0.14706018518518518</v>
      </c>
      <c r="AO4" s="87" t="str">
        <f>'Stage Entry'!AG13</f>
        <v>Glenn Goodman</v>
      </c>
      <c r="AP4" s="88">
        <f>'Stage Entry'!AH13</f>
        <v>1.1342592592592592E-2</v>
      </c>
      <c r="AQ4" s="89">
        <f>AN4+AP4</f>
        <v>0.15840277777777778</v>
      </c>
      <c r="AR4" s="87" t="str">
        <f>'Stage Entry'!AL13</f>
        <v>Andrew Coles</v>
      </c>
      <c r="AS4" s="88">
        <f>'Stage Entry'!AM13</f>
        <v>9.8032407407407408E-3</v>
      </c>
      <c r="AT4" s="89">
        <f>AQ4+AS4</f>
        <v>0.16820601851851852</v>
      </c>
      <c r="AU4" s="87" t="str">
        <f>'Stage Entry'!AQ13</f>
        <v>Franky Reid</v>
      </c>
      <c r="AV4" s="88">
        <f>'Stage Entry'!AR13</f>
        <v>1.3703703703703704E-2</v>
      </c>
      <c r="AW4" s="89">
        <f>AT4+AV4</f>
        <v>0.18190972222222224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</row>
    <row r="5" spans="1:67" s="34" customFormat="1" ht="20.100000000000001" customHeight="1">
      <c r="A5" s="86" t="str">
        <f>'Team Selection'!B4</f>
        <v>Oranges, Lemons and Dim Sims</v>
      </c>
      <c r="B5" s="87" t="str">
        <f>'Stage Entry'!H5</f>
        <v>Robyn Fletcher</v>
      </c>
      <c r="C5" s="88">
        <f>'Stage Entry'!I5</f>
        <v>1.0856481481481481E-2</v>
      </c>
      <c r="D5" s="89">
        <f t="shared" si="0"/>
        <v>1.0856481481481481E-2</v>
      </c>
      <c r="E5" s="87" t="str">
        <f>'Stage Entry'!M5</f>
        <v>Tony Hally</v>
      </c>
      <c r="F5" s="88">
        <f>'Stage Entry'!N5</f>
        <v>9.5949074074074079E-3</v>
      </c>
      <c r="G5" s="89">
        <f t="shared" ref="G5:G9" si="1">D5+F5</f>
        <v>2.0451388888888887E-2</v>
      </c>
      <c r="H5" s="87" t="str">
        <f>'Stage Entry'!R5</f>
        <v>Kate Seibold</v>
      </c>
      <c r="I5" s="88">
        <f>'Stage Entry'!S5</f>
        <v>9.3749999999999997E-3</v>
      </c>
      <c r="J5" s="89">
        <f t="shared" ref="J5:J9" si="2">G5+I5</f>
        <v>2.9826388888888888E-2</v>
      </c>
      <c r="K5" s="87" t="str">
        <f>'Stage Entry'!W5</f>
        <v>Joji Mori</v>
      </c>
      <c r="L5" s="88">
        <f>'Stage Entry'!X5</f>
        <v>8.1828703703703699E-3</v>
      </c>
      <c r="M5" s="89">
        <f t="shared" ref="M5:M9" si="3">J5+L5</f>
        <v>3.8009259259259257E-2</v>
      </c>
      <c r="N5" s="87" t="str">
        <f>'Stage Entry'!AB5</f>
        <v>Tony Hally</v>
      </c>
      <c r="O5" s="88">
        <f>'Stage Entry'!AC5</f>
        <v>1.2638888888888889E-2</v>
      </c>
      <c r="P5" s="89">
        <f t="shared" ref="P5:P9" si="4">M5+O5</f>
        <v>5.0648148148148144E-2</v>
      </c>
      <c r="Q5" s="87" t="str">
        <f>'Stage Entry'!AG5</f>
        <v>Kate Seibold</v>
      </c>
      <c r="R5" s="88">
        <f>'Stage Entry'!AH5</f>
        <v>1.1041666666666667E-2</v>
      </c>
      <c r="S5" s="89">
        <f t="shared" ref="S5:S9" si="5">P5+R5</f>
        <v>6.1689814814814808E-2</v>
      </c>
      <c r="T5" s="87" t="str">
        <f>'Stage Entry'!AL5</f>
        <v>Joji Mori</v>
      </c>
      <c r="U5" s="88">
        <f>'Stage Entry'!AM5</f>
        <v>1.0081018518518519E-2</v>
      </c>
      <c r="V5" s="89">
        <f t="shared" ref="V5:V9" si="6">S5+U5</f>
        <v>7.1770833333333325E-2</v>
      </c>
      <c r="W5" s="87" t="str">
        <f>'Stage Entry'!AQ5</f>
        <v>Robyn Fletcher</v>
      </c>
      <c r="X5" s="88">
        <f>'Stage Entry'!AR5</f>
        <v>1.292824074074074E-2</v>
      </c>
      <c r="Y5" s="89">
        <f t="shared" ref="Y5:Y9" si="7">V5+X5</f>
        <v>8.4699074074074066E-2</v>
      </c>
      <c r="Z5" s="87" t="str">
        <f>'Stage Entry'!H14</f>
        <v>Kate Seibold</v>
      </c>
      <c r="AA5" s="88">
        <f>'Stage Entry'!I14</f>
        <v>1.0115740740740741E-2</v>
      </c>
      <c r="AB5" s="89">
        <f t="shared" ref="AB5:AB9" si="8">Y5+AA5</f>
        <v>9.481481481481481E-2</v>
      </c>
      <c r="AC5" s="87" t="str">
        <f>'Stage Entry'!M14</f>
        <v>Robyn Fletcher</v>
      </c>
      <c r="AD5" s="88">
        <f>'Stage Entry'!N14</f>
        <v>1.087962962962963E-2</v>
      </c>
      <c r="AE5" s="89">
        <f t="shared" ref="AE5:AE9" si="9">AB5+AD5</f>
        <v>0.10569444444444444</v>
      </c>
      <c r="AF5" s="87" t="str">
        <f>'Stage Entry'!R14</f>
        <v>Tony Hally</v>
      </c>
      <c r="AG5" s="88">
        <f>'Stage Entry'!S14</f>
        <v>1.0081018518518519E-2</v>
      </c>
      <c r="AH5" s="89">
        <f t="shared" ref="AH5:AH9" si="10">AE5+AG5</f>
        <v>0.11577546296296296</v>
      </c>
      <c r="AI5" s="87" t="str">
        <f>'Stage Entry'!W14</f>
        <v>Joji Mori</v>
      </c>
      <c r="AJ5" s="88">
        <f>'Stage Entry'!X14</f>
        <v>1.0405092592592593E-2</v>
      </c>
      <c r="AK5" s="89">
        <f t="shared" ref="AK5:AK9" si="11">AH5+AJ5</f>
        <v>0.12618055555555555</v>
      </c>
      <c r="AL5" s="87" t="str">
        <f>'Stage Entry'!AB14</f>
        <v>Kate Seibold</v>
      </c>
      <c r="AM5" s="88">
        <f>'Stage Entry'!AC14</f>
        <v>1.2939814814814814E-2</v>
      </c>
      <c r="AN5" s="89">
        <f t="shared" ref="AN5:AN9" si="12">AK5+AM5</f>
        <v>0.13912037037037037</v>
      </c>
      <c r="AO5" s="87" t="str">
        <f>'Stage Entry'!AG14</f>
        <v>Tony Hally</v>
      </c>
      <c r="AP5" s="88">
        <f>'Stage Entry'!AH14</f>
        <v>1.1423611111111112E-2</v>
      </c>
      <c r="AQ5" s="89">
        <f t="shared" ref="AQ5:AQ9" si="13">AN5+AP5</f>
        <v>0.15054398148148149</v>
      </c>
      <c r="AR5" s="87" t="str">
        <f>'Stage Entry'!AL14</f>
        <v>Joji Mori</v>
      </c>
      <c r="AS5" s="88">
        <f>'Stage Entry'!AM14</f>
        <v>1.0185185185185184E-2</v>
      </c>
      <c r="AT5" s="89">
        <f t="shared" ref="AT5:AT9" si="14">AQ5+AS5</f>
        <v>0.16072916666666667</v>
      </c>
      <c r="AU5" s="87" t="str">
        <f>'Stage Entry'!AQ14</f>
        <v>Robyn Fletcher</v>
      </c>
      <c r="AV5" s="88">
        <f>'Stage Entry'!AR14</f>
        <v>1.1967592592592592E-2</v>
      </c>
      <c r="AW5" s="89">
        <f t="shared" ref="AW5:AW9" si="15">AT5+AV5</f>
        <v>0.17269675925925926</v>
      </c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</row>
    <row r="6" spans="1:67" s="34" customFormat="1" ht="20.100000000000001" customHeight="1">
      <c r="A6" s="86" t="str">
        <f>'Team Selection'!B5</f>
        <v>Ron Burgundy</v>
      </c>
      <c r="B6" s="87" t="str">
        <f>'Stage Entry'!H6</f>
        <v>Mark Stodden</v>
      </c>
      <c r="C6" s="88">
        <f>'Stage Entry'!I6</f>
        <v>8.8425925925925911E-3</v>
      </c>
      <c r="D6" s="89">
        <f t="shared" si="0"/>
        <v>8.8425925925925911E-3</v>
      </c>
      <c r="E6" s="87" t="str">
        <f>'Stage Entry'!M6</f>
        <v>Ewen Vowels</v>
      </c>
      <c r="F6" s="88">
        <f>'Stage Entry'!N6</f>
        <v>9.5370370370370366E-3</v>
      </c>
      <c r="G6" s="89">
        <f t="shared" si="1"/>
        <v>1.8379629629629628E-2</v>
      </c>
      <c r="H6" s="87" t="str">
        <f>'Stage Entry'!R6</f>
        <v>Paul Munro</v>
      </c>
      <c r="I6" s="88">
        <f>'Stage Entry'!S6</f>
        <v>8.3564814814814804E-3</v>
      </c>
      <c r="J6" s="89">
        <f t="shared" si="2"/>
        <v>2.6736111111111106E-2</v>
      </c>
      <c r="K6" s="87" t="str">
        <f>'Stage Entry'!W6</f>
        <v>James Chiriano</v>
      </c>
      <c r="L6" s="88">
        <f>'Stage Entry'!X6</f>
        <v>9.8611111111111104E-3</v>
      </c>
      <c r="M6" s="89">
        <f t="shared" si="3"/>
        <v>3.6597222222222218E-2</v>
      </c>
      <c r="N6" s="87" t="str">
        <f>'Stage Entry'!AB6</f>
        <v>Mark Stodden</v>
      </c>
      <c r="O6" s="88">
        <f>'Stage Entry'!AC6</f>
        <v>1.1701388888888891E-2</v>
      </c>
      <c r="P6" s="89">
        <f t="shared" si="4"/>
        <v>4.8298611111111112E-2</v>
      </c>
      <c r="Q6" s="87" t="str">
        <f>'Stage Entry'!AG6</f>
        <v>Ewen Vowels</v>
      </c>
      <c r="R6" s="88">
        <f>'Stage Entry'!AH6</f>
        <v>1.0497685185185186E-2</v>
      </c>
      <c r="S6" s="89">
        <f t="shared" si="5"/>
        <v>5.8796296296296298E-2</v>
      </c>
      <c r="T6" s="87" t="str">
        <f>'Stage Entry'!AL6</f>
        <v>Paul Munro</v>
      </c>
      <c r="U6" s="88">
        <f>'Stage Entry'!AM6</f>
        <v>1.0115740740740741E-2</v>
      </c>
      <c r="V6" s="89">
        <f t="shared" si="6"/>
        <v>6.8912037037037036E-2</v>
      </c>
      <c r="W6" s="87" t="str">
        <f>'Stage Entry'!AQ6</f>
        <v>James Chiriano</v>
      </c>
      <c r="X6" s="88">
        <f>'Stage Entry'!AR6</f>
        <v>1.091435185185185E-2</v>
      </c>
      <c r="Y6" s="89">
        <f t="shared" si="7"/>
        <v>7.9826388888888891E-2</v>
      </c>
      <c r="Z6" s="87" t="str">
        <f>'Stage Entry'!H15</f>
        <v>Mark Stodden</v>
      </c>
      <c r="AA6" s="88">
        <f>'Stage Entry'!I15</f>
        <v>1.0381944444444444E-2</v>
      </c>
      <c r="AB6" s="89">
        <f t="shared" si="8"/>
        <v>9.0208333333333335E-2</v>
      </c>
      <c r="AC6" s="87" t="str">
        <f>'Stage Entry'!M15</f>
        <v>James Chiriano</v>
      </c>
      <c r="AD6" s="88">
        <f>'Stage Entry'!N15</f>
        <v>9.8148148148148144E-3</v>
      </c>
      <c r="AE6" s="89">
        <f t="shared" si="9"/>
        <v>0.10002314814814815</v>
      </c>
      <c r="AF6" s="87" t="str">
        <f>'Stage Entry'!R15</f>
        <v>Ewen Vowels</v>
      </c>
      <c r="AG6" s="88">
        <f>'Stage Entry'!S15</f>
        <v>1.0011574074074074E-2</v>
      </c>
      <c r="AH6" s="89">
        <f t="shared" si="10"/>
        <v>0.11003472222222223</v>
      </c>
      <c r="AI6" s="87" t="str">
        <f>'Stage Entry'!W15</f>
        <v>Paul Munro</v>
      </c>
      <c r="AJ6" s="88">
        <f>'Stage Entry'!X15</f>
        <v>1.0625000000000001E-2</v>
      </c>
      <c r="AK6" s="89">
        <f t="shared" si="11"/>
        <v>0.12065972222222222</v>
      </c>
      <c r="AL6" s="87" t="str">
        <f>'Stage Entry'!AB15</f>
        <v>Mark Stodden</v>
      </c>
      <c r="AM6" s="88">
        <f>'Stage Entry'!AC15</f>
        <v>1.2685185185185183E-2</v>
      </c>
      <c r="AN6" s="89">
        <f t="shared" si="12"/>
        <v>0.1333449074074074</v>
      </c>
      <c r="AO6" s="87" t="str">
        <f>'Stage Entry'!AG15</f>
        <v>Ewen Vowels</v>
      </c>
      <c r="AP6" s="88">
        <f>'Stage Entry'!AH15</f>
        <v>1.1296296296296296E-2</v>
      </c>
      <c r="AQ6" s="89">
        <f t="shared" si="13"/>
        <v>0.1446412037037037</v>
      </c>
      <c r="AR6" s="87" t="str">
        <f>'Stage Entry'!AL15</f>
        <v>Paul Munro</v>
      </c>
      <c r="AS6" s="88">
        <f>'Stage Entry'!AM15</f>
        <v>9.8842592592592576E-3</v>
      </c>
      <c r="AT6" s="89">
        <f t="shared" si="14"/>
        <v>0.15452546296296296</v>
      </c>
      <c r="AU6" s="87" t="str">
        <f>'Stage Entry'!AQ15</f>
        <v>James Chiriano</v>
      </c>
      <c r="AV6" s="88">
        <f>'Stage Entry'!AR15</f>
        <v>1.119212962962963E-2</v>
      </c>
      <c r="AW6" s="89">
        <f t="shared" si="15"/>
        <v>0.16571759259259258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s="34" customFormat="1" ht="20.100000000000001" customHeight="1">
      <c r="A7" s="86" t="str">
        <f>'Team Selection'!B6</f>
        <v>Magpie Army</v>
      </c>
      <c r="B7" s="87" t="str">
        <f>'Stage Entry'!H7</f>
        <v>Simon Bevege</v>
      </c>
      <c r="C7" s="88">
        <f>'Stage Entry'!I7</f>
        <v>8.1365740740740738E-3</v>
      </c>
      <c r="D7" s="89">
        <f t="shared" si="0"/>
        <v>8.1365740740740738E-3</v>
      </c>
      <c r="E7" s="87" t="str">
        <f>'Stage Entry'!M7</f>
        <v>Dale Nardella</v>
      </c>
      <c r="F7" s="88">
        <f>'Stage Entry'!N7</f>
        <v>9.5601851851851855E-3</v>
      </c>
      <c r="G7" s="89">
        <f t="shared" si="1"/>
        <v>1.7696759259259259E-2</v>
      </c>
      <c r="H7" s="87" t="str">
        <f>'Stage Entry'!R7</f>
        <v>Anthony Mithen</v>
      </c>
      <c r="I7" s="88">
        <f>'Stage Entry'!S7</f>
        <v>9.6759259259259264E-3</v>
      </c>
      <c r="J7" s="89">
        <f t="shared" si="2"/>
        <v>2.7372685185185187E-2</v>
      </c>
      <c r="K7" s="87" t="str">
        <f>'Stage Entry'!W7</f>
        <v>Ross Prickett</v>
      </c>
      <c r="L7" s="88">
        <f>'Stage Entry'!X7</f>
        <v>9.9537037037037042E-3</v>
      </c>
      <c r="M7" s="89">
        <f t="shared" si="3"/>
        <v>3.7326388888888895E-2</v>
      </c>
      <c r="N7" s="87" t="str">
        <f>'Stage Entry'!AB7</f>
        <v>Simon Bevege</v>
      </c>
      <c r="O7" s="88">
        <f>'Stage Entry'!AC7</f>
        <v>1.0671296296296297E-2</v>
      </c>
      <c r="P7" s="89">
        <f t="shared" si="4"/>
        <v>4.7997685185185192E-2</v>
      </c>
      <c r="Q7" s="87" t="str">
        <f>'Stage Entry'!AG7</f>
        <v>Dale Nardella</v>
      </c>
      <c r="R7" s="88">
        <f>'Stage Entry'!AH7</f>
        <v>1.1076388888888887E-2</v>
      </c>
      <c r="S7" s="89">
        <f t="shared" si="5"/>
        <v>5.9074074074074077E-2</v>
      </c>
      <c r="T7" s="87" t="str">
        <f>'Stage Entry'!AL7</f>
        <v>Anthony Mithen</v>
      </c>
      <c r="U7" s="88">
        <f>'Stage Entry'!AM7</f>
        <v>1.1412037037037038E-2</v>
      </c>
      <c r="V7" s="89">
        <f t="shared" si="6"/>
        <v>7.048611111111111E-2</v>
      </c>
      <c r="W7" s="87" t="str">
        <f>'Stage Entry'!AQ7</f>
        <v>Ross Prickett</v>
      </c>
      <c r="X7" s="88">
        <f>'Stage Entry'!AR7</f>
        <v>1.0972222222222223E-2</v>
      </c>
      <c r="Y7" s="89">
        <f t="shared" si="7"/>
        <v>8.1458333333333327E-2</v>
      </c>
      <c r="Z7" s="87" t="str">
        <f>'Stage Entry'!H16</f>
        <v>Dale Nardella</v>
      </c>
      <c r="AA7" s="88">
        <f>'Stage Entry'!I16</f>
        <v>1.1261574074074071E-2</v>
      </c>
      <c r="AB7" s="89">
        <f t="shared" si="8"/>
        <v>9.2719907407407404E-2</v>
      </c>
      <c r="AC7" s="87" t="str">
        <f>'Stage Entry'!M16</f>
        <v>Ross Prickett</v>
      </c>
      <c r="AD7" s="88">
        <f>'Stage Entry'!N16</f>
        <v>1.0069444444444445E-2</v>
      </c>
      <c r="AE7" s="89">
        <f t="shared" si="9"/>
        <v>0.10278935185185185</v>
      </c>
      <c r="AF7" s="87" t="str">
        <f>'Stage Entry'!R16</f>
        <v>Dale Nardella</v>
      </c>
      <c r="AG7" s="88">
        <f>'Stage Entry'!S16</f>
        <v>1.0439814814814813E-2</v>
      </c>
      <c r="AH7" s="89">
        <f t="shared" si="10"/>
        <v>0.11322916666666667</v>
      </c>
      <c r="AI7" s="87" t="str">
        <f>'Stage Entry'!W16</f>
        <v>Anthony Mithen</v>
      </c>
      <c r="AJ7" s="88">
        <f>'Stage Entry'!X16</f>
        <v>1.3148148148148147E-2</v>
      </c>
      <c r="AK7" s="89">
        <f t="shared" si="11"/>
        <v>0.12637731481481482</v>
      </c>
      <c r="AL7" s="87" t="str">
        <f>'Stage Entry'!AB16</f>
        <v>Simon Bevege</v>
      </c>
      <c r="AM7" s="88">
        <f>'Stage Entry'!AC16</f>
        <v>1.1458333333333334E-2</v>
      </c>
      <c r="AN7" s="89">
        <f t="shared" si="12"/>
        <v>0.13783564814814814</v>
      </c>
      <c r="AO7" s="87" t="str">
        <f>'Stage Entry'!AG16</f>
        <v>Anthony Mithen</v>
      </c>
      <c r="AP7" s="88">
        <f>'Stage Entry'!AH16</f>
        <v>1.1562499999999998E-2</v>
      </c>
      <c r="AQ7" s="89">
        <f t="shared" si="13"/>
        <v>0.14939814814814814</v>
      </c>
      <c r="AR7" s="87" t="str">
        <f>'Stage Entry'!AL16</f>
        <v>Simon Bevege</v>
      </c>
      <c r="AS7" s="88">
        <f>'Stage Entry'!AM16</f>
        <v>1.045138888888889E-2</v>
      </c>
      <c r="AT7" s="89">
        <f t="shared" si="14"/>
        <v>0.15984953703703703</v>
      </c>
      <c r="AU7" s="87" t="str">
        <f>'Stage Entry'!AQ16</f>
        <v>Ross Prickett</v>
      </c>
      <c r="AV7" s="88">
        <f>'Stage Entry'!AR16</f>
        <v>1.1087962962962964E-2</v>
      </c>
      <c r="AW7" s="89">
        <f t="shared" si="15"/>
        <v>0.17093749999999999</v>
      </c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s="34" customFormat="1" ht="20.100000000000001" customHeight="1">
      <c r="A8" s="86" t="str">
        <f>'Team Selection'!B7</f>
        <v>Daylight Chasers</v>
      </c>
      <c r="B8" s="87" t="str">
        <f>'Stage Entry'!H8</f>
        <v>David Venour</v>
      </c>
      <c r="C8" s="88">
        <f>'Stage Entry'!I8</f>
        <v>8.4143518518518517E-3</v>
      </c>
      <c r="D8" s="89">
        <f t="shared" si="0"/>
        <v>8.4143518518518517E-3</v>
      </c>
      <c r="E8" s="87" t="str">
        <f>'Stage Entry'!M8</f>
        <v>Chris Osborne</v>
      </c>
      <c r="F8" s="88">
        <f>'Stage Entry'!N8</f>
        <v>9.7685185185185184E-3</v>
      </c>
      <c r="G8" s="89">
        <f t="shared" si="1"/>
        <v>1.818287037037037E-2</v>
      </c>
      <c r="H8" s="87" t="str">
        <f>'Stage Entry'!R8</f>
        <v>Glenn Carroll</v>
      </c>
      <c r="I8" s="88">
        <f>'Stage Entry'!S8</f>
        <v>8.8541666666666664E-3</v>
      </c>
      <c r="J8" s="89">
        <f t="shared" si="2"/>
        <v>2.7037037037037037E-2</v>
      </c>
      <c r="K8" s="87" t="str">
        <f>'Stage Entry'!W8</f>
        <v>Martin Duchovny</v>
      </c>
      <c r="L8" s="88">
        <f>'Stage Entry'!X8</f>
        <v>1.0104166666666668E-2</v>
      </c>
      <c r="M8" s="89">
        <f t="shared" si="3"/>
        <v>3.7141203703703704E-2</v>
      </c>
      <c r="N8" s="87" t="str">
        <f>'Stage Entry'!AB8</f>
        <v>David Venour</v>
      </c>
      <c r="O8" s="88">
        <f>'Stage Entry'!AC8</f>
        <v>1.0868055555555556E-2</v>
      </c>
      <c r="P8" s="89">
        <f t="shared" si="4"/>
        <v>4.8009259259259258E-2</v>
      </c>
      <c r="Q8" s="87" t="str">
        <f>'Stage Entry'!AG8</f>
        <v>Chris Osborne</v>
      </c>
      <c r="R8" s="88">
        <f>'Stage Entry'!AH8</f>
        <v>1.1226851851851854E-2</v>
      </c>
      <c r="S8" s="89">
        <f t="shared" si="5"/>
        <v>5.9236111111111114E-2</v>
      </c>
      <c r="T8" s="87" t="str">
        <f>'Stage Entry'!AL8</f>
        <v>Glenn Carroll</v>
      </c>
      <c r="U8" s="88">
        <f>'Stage Entry'!AM8</f>
        <v>1.0949074074074075E-2</v>
      </c>
      <c r="V8" s="89">
        <f t="shared" si="6"/>
        <v>7.0185185185185184E-2</v>
      </c>
      <c r="W8" s="87" t="str">
        <f>'Stage Entry'!AQ8</f>
        <v>Martin Duchovny</v>
      </c>
      <c r="X8" s="88">
        <f>'Stage Entry'!AR8</f>
        <v>1.119212962962963E-2</v>
      </c>
      <c r="Y8" s="89">
        <f t="shared" si="7"/>
        <v>8.1377314814814819E-2</v>
      </c>
      <c r="Z8" s="87" t="str">
        <f>'Stage Entry'!H17</f>
        <v>Glenn Carroll</v>
      </c>
      <c r="AA8" s="88">
        <f>'Stage Entry'!I17</f>
        <v>1.0277777777777778E-2</v>
      </c>
      <c r="AB8" s="89">
        <f t="shared" si="8"/>
        <v>9.1655092592592594E-2</v>
      </c>
      <c r="AC8" s="87" t="str">
        <f>'Stage Entry'!M17</f>
        <v>Martin Duchovny</v>
      </c>
      <c r="AD8" s="88">
        <f>'Stage Entry'!N17</f>
        <v>1.0439814814814813E-2</v>
      </c>
      <c r="AE8" s="89">
        <f t="shared" si="9"/>
        <v>0.10209490740740741</v>
      </c>
      <c r="AF8" s="87" t="str">
        <f>'Stage Entry'!R17</f>
        <v>Chris Osborne</v>
      </c>
      <c r="AG8" s="88">
        <f>'Stage Entry'!S17</f>
        <v>1.0300925925925927E-2</v>
      </c>
      <c r="AH8" s="89">
        <f t="shared" si="10"/>
        <v>0.11239583333333333</v>
      </c>
      <c r="AI8" s="87" t="str">
        <f>'Stage Entry'!W17</f>
        <v>David Venour</v>
      </c>
      <c r="AJ8" s="88">
        <f>'Stage Entry'!X17</f>
        <v>1.0949074074074075E-2</v>
      </c>
      <c r="AK8" s="89">
        <f t="shared" si="11"/>
        <v>0.1233449074074074</v>
      </c>
      <c r="AL8" s="87" t="str">
        <f>'Stage Entry'!AB17</f>
        <v>Glenn Carroll</v>
      </c>
      <c r="AM8" s="88">
        <f>'Stage Entry'!AC17</f>
        <v>1.2893518518518519E-2</v>
      </c>
      <c r="AN8" s="89">
        <f t="shared" si="12"/>
        <v>0.13623842592592592</v>
      </c>
      <c r="AO8" s="87" t="str">
        <f>'Stage Entry'!AG17</f>
        <v>Chris Osborne</v>
      </c>
      <c r="AP8" s="88">
        <f>'Stage Entry'!AH17</f>
        <v>1.1689814814814814E-2</v>
      </c>
      <c r="AQ8" s="89">
        <f t="shared" si="13"/>
        <v>0.14792824074074074</v>
      </c>
      <c r="AR8" s="87" t="str">
        <f>'Stage Entry'!AL17</f>
        <v>David Venour</v>
      </c>
      <c r="AS8" s="88">
        <f>'Stage Entry'!AM17</f>
        <v>1.0231481481481482E-2</v>
      </c>
      <c r="AT8" s="89">
        <f t="shared" si="14"/>
        <v>0.15815972222222222</v>
      </c>
      <c r="AU8" s="87" t="str">
        <f>'Stage Entry'!AQ17</f>
        <v>Martin Duchovny</v>
      </c>
      <c r="AV8" s="88">
        <f>'Stage Entry'!AR17</f>
        <v>1.1759259259259259E-2</v>
      </c>
      <c r="AW8" s="89">
        <f t="shared" si="15"/>
        <v>0.16991898148148146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</row>
    <row r="9" spans="1:67" s="34" customFormat="1" ht="20.100000000000001" customHeight="1">
      <c r="A9" s="86" t="str">
        <f>'Team Selection'!B8</f>
        <v>The Undeserving Favourites</v>
      </c>
      <c r="B9" s="87" t="str">
        <f>'Stage Entry'!H9</f>
        <v>Richard Does</v>
      </c>
      <c r="C9" s="88">
        <f>'Stage Entry'!I9</f>
        <v>8.6921296296296312E-3</v>
      </c>
      <c r="D9" s="89">
        <f t="shared" si="0"/>
        <v>8.6921296296296312E-3</v>
      </c>
      <c r="E9" s="87" t="str">
        <f>'Stage Entry'!M9</f>
        <v>Robyn Millard</v>
      </c>
      <c r="F9" s="88">
        <f>'Stage Entry'!N9</f>
        <v>1.0266203703703703E-2</v>
      </c>
      <c r="G9" s="89">
        <f t="shared" si="1"/>
        <v>1.8958333333333334E-2</v>
      </c>
      <c r="H9" s="87" t="str">
        <f>'Stage Entry'!R9</f>
        <v>Stephen Paine</v>
      </c>
      <c r="I9" s="88">
        <f>'Stage Entry'!S9</f>
        <v>8.6921296296296312E-3</v>
      </c>
      <c r="J9" s="89">
        <f t="shared" si="2"/>
        <v>2.7650462962962967E-2</v>
      </c>
      <c r="K9" s="87" t="str">
        <f>'Stage Entry'!W9</f>
        <v>Rory Heddles</v>
      </c>
      <c r="L9" s="88">
        <f>'Stage Entry'!X9</f>
        <v>9.6874999999999999E-3</v>
      </c>
      <c r="M9" s="89">
        <f t="shared" si="3"/>
        <v>3.7337962962962969E-2</v>
      </c>
      <c r="N9" s="87" t="str">
        <f>'Stage Entry'!AB9</f>
        <v>Richard Does</v>
      </c>
      <c r="O9" s="88">
        <f>'Stage Entry'!AC9</f>
        <v>1.119212962962963E-2</v>
      </c>
      <c r="P9" s="89">
        <f t="shared" si="4"/>
        <v>4.8530092592592597E-2</v>
      </c>
      <c r="Q9" s="87" t="str">
        <f>'Stage Entry'!AG9</f>
        <v>Robyn Millard</v>
      </c>
      <c r="R9" s="88">
        <f>'Stage Entry'!AH9</f>
        <v>1.1400462962962965E-2</v>
      </c>
      <c r="S9" s="89">
        <f t="shared" si="5"/>
        <v>5.9930555555555563E-2</v>
      </c>
      <c r="T9" s="87" t="str">
        <f>'Stage Entry'!AL9</f>
        <v>Stephen Paine</v>
      </c>
      <c r="U9" s="88">
        <f>'Stage Entry'!AM9</f>
        <v>1.0694444444444444E-2</v>
      </c>
      <c r="V9" s="89">
        <f t="shared" si="6"/>
        <v>7.0625000000000007E-2</v>
      </c>
      <c r="W9" s="87" t="str">
        <f>'Stage Entry'!AQ9</f>
        <v>Rory Heddles</v>
      </c>
      <c r="X9" s="88">
        <f>'Stage Entry'!AR9</f>
        <v>1.0659722222222221E-2</v>
      </c>
      <c r="Y9" s="89">
        <f t="shared" si="7"/>
        <v>8.128472222222223E-2</v>
      </c>
      <c r="Z9" s="87" t="str">
        <f>'Stage Entry'!H18</f>
        <v>Richard Does</v>
      </c>
      <c r="AA9" s="88">
        <f>'Stage Entry'!I18</f>
        <v>9.8032407407407408E-3</v>
      </c>
      <c r="AB9" s="89">
        <f t="shared" si="8"/>
        <v>9.1087962962962968E-2</v>
      </c>
      <c r="AC9" s="87" t="str">
        <f>'Stage Entry'!M18</f>
        <v>Rory Heddles</v>
      </c>
      <c r="AD9" s="88">
        <f>'Stage Entry'!N18</f>
        <v>9.6874999999999999E-3</v>
      </c>
      <c r="AE9" s="89">
        <f t="shared" si="9"/>
        <v>0.10077546296296297</v>
      </c>
      <c r="AF9" s="87" t="str">
        <f>'Stage Entry'!R18</f>
        <v>Robyn Millard</v>
      </c>
      <c r="AG9" s="88">
        <f>'Stage Entry'!S18</f>
        <v>1.0902777777777777E-2</v>
      </c>
      <c r="AH9" s="89">
        <f t="shared" si="10"/>
        <v>0.11167824074074074</v>
      </c>
      <c r="AI9" s="87" t="str">
        <f>'Stage Entry'!W18</f>
        <v>Stephen Paine</v>
      </c>
      <c r="AJ9" s="88">
        <f>'Stage Entry'!X18</f>
        <v>1.1157407407407408E-2</v>
      </c>
      <c r="AK9" s="89">
        <f t="shared" si="11"/>
        <v>0.12283564814814815</v>
      </c>
      <c r="AL9" s="87" t="str">
        <f>'Stage Entry'!AB18</f>
        <v>Richard Does</v>
      </c>
      <c r="AM9" s="88">
        <f>'Stage Entry'!AC18</f>
        <v>1.1770833333333333E-2</v>
      </c>
      <c r="AN9" s="89">
        <f t="shared" si="12"/>
        <v>0.13460648148148149</v>
      </c>
      <c r="AO9" s="87" t="str">
        <f>'Stage Entry'!AG18</f>
        <v>Stephen Paine</v>
      </c>
      <c r="AP9" s="88">
        <f>'Stage Entry'!AH18</f>
        <v>1.0555555555555554E-2</v>
      </c>
      <c r="AQ9" s="89">
        <f t="shared" si="13"/>
        <v>0.14516203703703706</v>
      </c>
      <c r="AR9" s="87" t="str">
        <f>'Stage Entry'!AL18</f>
        <v>Rory Heddles</v>
      </c>
      <c r="AS9" s="88">
        <f>'Stage Entry'!AM18</f>
        <v>1.1516203703703702E-2</v>
      </c>
      <c r="AT9" s="89">
        <f t="shared" si="14"/>
        <v>0.15667824074074077</v>
      </c>
      <c r="AU9" s="87" t="str">
        <f>'Stage Entry'!AQ18</f>
        <v>Robyn Millard</v>
      </c>
      <c r="AV9" s="88">
        <f>'Stage Entry'!AR18</f>
        <v>1.068287037037037E-2</v>
      </c>
      <c r="AW9" s="89">
        <f t="shared" si="15"/>
        <v>0.16736111111111113</v>
      </c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</row>
    <row r="11" spans="1:67" s="103" customFormat="1">
      <c r="B11" s="104"/>
      <c r="C11" s="105" t="s">
        <v>43</v>
      </c>
      <c r="D11" s="106" t="s">
        <v>42</v>
      </c>
      <c r="E11" s="145"/>
      <c r="F11" s="146" t="s">
        <v>43</v>
      </c>
      <c r="G11" s="147" t="s">
        <v>42</v>
      </c>
      <c r="H11" s="145"/>
      <c r="I11" s="146" t="s">
        <v>43</v>
      </c>
      <c r="J11" s="147" t="s">
        <v>42</v>
      </c>
      <c r="K11" s="104"/>
      <c r="L11" s="105" t="s">
        <v>43</v>
      </c>
      <c r="M11" s="106" t="s">
        <v>42</v>
      </c>
      <c r="N11" s="104"/>
      <c r="O11" s="105" t="s">
        <v>43</v>
      </c>
      <c r="P11" s="106" t="s">
        <v>42</v>
      </c>
      <c r="Q11" s="104"/>
      <c r="R11" s="105" t="s">
        <v>43</v>
      </c>
      <c r="S11" s="106" t="s">
        <v>42</v>
      </c>
      <c r="T11" s="104"/>
      <c r="U11" s="105" t="s">
        <v>43</v>
      </c>
      <c r="V11" s="106" t="s">
        <v>42</v>
      </c>
      <c r="W11" s="104"/>
      <c r="X11" s="105" t="s">
        <v>43</v>
      </c>
      <c r="Y11" s="106" t="s">
        <v>42</v>
      </c>
      <c r="Z11" s="104"/>
      <c r="AA11" s="105" t="s">
        <v>43</v>
      </c>
      <c r="AB11" s="106" t="s">
        <v>42</v>
      </c>
      <c r="AC11" s="104"/>
      <c r="AD11" s="105" t="s">
        <v>43</v>
      </c>
      <c r="AE11" s="106" t="s">
        <v>42</v>
      </c>
      <c r="AF11" s="104"/>
      <c r="AG11" s="105" t="s">
        <v>43</v>
      </c>
      <c r="AH11" s="106" t="s">
        <v>42</v>
      </c>
      <c r="AI11" s="104"/>
      <c r="AJ11" s="105" t="s">
        <v>43</v>
      </c>
      <c r="AK11" s="106" t="s">
        <v>42</v>
      </c>
      <c r="AL11" s="104"/>
      <c r="AM11" s="105" t="s">
        <v>43</v>
      </c>
      <c r="AN11" s="106" t="s">
        <v>42</v>
      </c>
      <c r="AO11" s="104"/>
      <c r="AP11" s="105" t="s">
        <v>43</v>
      </c>
      <c r="AQ11" s="106" t="s">
        <v>42</v>
      </c>
      <c r="AR11" s="104"/>
      <c r="AS11" s="105" t="s">
        <v>43</v>
      </c>
      <c r="AT11" s="106" t="s">
        <v>42</v>
      </c>
      <c r="AU11" s="104"/>
      <c r="AV11" s="105" t="s">
        <v>43</v>
      </c>
      <c r="AW11" s="106" t="s">
        <v>42</v>
      </c>
      <c r="AX11" s="109"/>
      <c r="AY11" s="110" t="s">
        <v>0</v>
      </c>
      <c r="AZ11" s="111">
        <v>1</v>
      </c>
      <c r="BA11" s="111">
        <v>2</v>
      </c>
      <c r="BB11" s="111">
        <v>3</v>
      </c>
      <c r="BC11" s="111">
        <v>4</v>
      </c>
      <c r="BD11" s="111">
        <v>5</v>
      </c>
      <c r="BE11" s="111">
        <v>6</v>
      </c>
      <c r="BF11" s="111">
        <v>7</v>
      </c>
      <c r="BG11" s="111">
        <v>8</v>
      </c>
      <c r="BH11" s="111">
        <v>9</v>
      </c>
      <c r="BI11" s="111">
        <v>10</v>
      </c>
      <c r="BJ11" s="111">
        <v>9</v>
      </c>
      <c r="BK11" s="111">
        <v>10</v>
      </c>
      <c r="BL11" s="111">
        <v>11</v>
      </c>
      <c r="BM11" s="111">
        <v>12</v>
      </c>
      <c r="BN11" s="111">
        <v>13</v>
      </c>
      <c r="BO11" s="111">
        <v>14</v>
      </c>
    </row>
    <row r="12" spans="1:67">
      <c r="C12" s="101">
        <f>RANK(D4,D$4:D$9,1)</f>
        <v>5</v>
      </c>
      <c r="D12" s="102">
        <f>D4-MIN(D$4,D$5,D$6,D$7,D$8,D$9)</f>
        <v>1.2847222222222218E-3</v>
      </c>
      <c r="F12" s="101">
        <f>RANK(G4,G$4:G$9,1)</f>
        <v>4</v>
      </c>
      <c r="G12" s="102">
        <f>G4-MIN(G$4,G$5,G$6,G$7,G$8,G$9)</f>
        <v>1.2037037037037034E-3</v>
      </c>
      <c r="I12" s="101">
        <f>RANK(J4,J$4:J$9,1)</f>
        <v>2</v>
      </c>
      <c r="J12" s="102">
        <f>J4-MIN(J$4,J$5,J$6,J$7,J$8,J$9)</f>
        <v>6.9444444444448361E-5</v>
      </c>
      <c r="L12" s="101">
        <f>RANK(M4,M$4:M$9,1)</f>
        <v>6</v>
      </c>
      <c r="M12" s="102">
        <f>M4-MIN(M$4,M$5,M$6,M$7,M$8,M$9)</f>
        <v>3.7731481481481505E-3</v>
      </c>
      <c r="O12" s="101">
        <f>RANK(P4,P$4:P$9,1)</f>
        <v>6</v>
      </c>
      <c r="P12" s="102">
        <f>P4-MIN(P$4,P$5,P$6,P$7,P$8,P$9)</f>
        <v>4.9421296296296227E-3</v>
      </c>
      <c r="R12" s="101">
        <f>RANK(S4,S$4:S$9,1)</f>
        <v>6</v>
      </c>
      <c r="S12" s="102">
        <f>S4-MIN(S$4,S$5,S$6,S$7,S$8,S$9)</f>
        <v>4.8379629629629536E-3</v>
      </c>
      <c r="U12" s="101">
        <f>RANK(V4,V$4:V$9,1)</f>
        <v>6</v>
      </c>
      <c r="V12" s="102">
        <f>V4-MIN(V$4,V$5,V$6,V$7,V$8,V$9)</f>
        <v>4.8611111111111077E-3</v>
      </c>
      <c r="X12" s="101">
        <f>RANK(Y4,Y$4:Y$9,1)</f>
        <v>6</v>
      </c>
      <c r="Y12" s="102">
        <f>Y4-MIN(Y$4,Y$5,Y$6,Y$7,Y$8,Y$9)</f>
        <v>8.9814814814814653E-3</v>
      </c>
      <c r="AA12" s="101">
        <f>RANK(AB4,AB$4:AB$9,1)</f>
        <v>6</v>
      </c>
      <c r="AB12" s="102">
        <f>AB4-MIN(AB$4,AB$5,AB$6,AB$7,AB$8,AB$9)</f>
        <v>9.2939814814814725E-3</v>
      </c>
      <c r="AD12" s="101">
        <f>RANK(AE4,AE$4:AE$9,1)</f>
        <v>6</v>
      </c>
      <c r="AE12" s="102">
        <f>AE4-MIN(AE$4,AE$5,AE$6,AE$7,AE$8,AE$9)</f>
        <v>1.291666666666666E-2</v>
      </c>
      <c r="AG12" s="101">
        <f>RANK(AH4,AH$4:AH$9,1)</f>
        <v>6</v>
      </c>
      <c r="AH12" s="102">
        <f>AH4-MIN(AH$4,AH$5,AH$6,AH$7,AH$8,AH$9)</f>
        <v>1.3310185185185175E-2</v>
      </c>
      <c r="AJ12" s="101">
        <f>RANK(AK4,AK$4:AK$9,1)</f>
        <v>6</v>
      </c>
      <c r="AK12" s="102">
        <f>AK4-MIN(AK$4,AK$5,AK$6,AK$7,AK$8,AK$9)</f>
        <v>1.3148148148148145E-2</v>
      </c>
      <c r="AM12" s="101">
        <f>RANK(AN4,AN$4:AN$9,1)</f>
        <v>6</v>
      </c>
      <c r="AN12" s="102">
        <f>AN4-MIN(AN$4,AN$5,AN$6,AN$7,AN$8,AN$9)</f>
        <v>1.3715277777777785E-2</v>
      </c>
      <c r="AP12" s="101">
        <f>RANK(AQ4,AQ$4:AQ$9,1)</f>
        <v>6</v>
      </c>
      <c r="AQ12" s="102">
        <f>AQ4-MIN(AQ$4,AQ$5,AQ$6,AQ$7,AQ$8,AQ$9)</f>
        <v>1.3761574074074079E-2</v>
      </c>
      <c r="AS12" s="101">
        <f>RANK(AT4,AT$4:AT$9,1)</f>
        <v>6</v>
      </c>
      <c r="AT12" s="102">
        <f>AT4-MIN(AT$4,AT$5,AT$6,AT$7,AT$8,AT$9)</f>
        <v>1.3680555555555557E-2</v>
      </c>
      <c r="AV12" s="101">
        <f>RANK(AW4,AW$4:AW$9,1)</f>
        <v>6</v>
      </c>
      <c r="AW12" s="102">
        <f>AW4-MIN(AW$4,AW$5,AW$6,AW$7,AW$8,AW$9)</f>
        <v>1.6192129629629654E-2</v>
      </c>
      <c r="AX12" s="112"/>
      <c r="AY12" s="113" t="str">
        <f>A4</f>
        <v>Go Franky</v>
      </c>
      <c r="AZ12" s="114">
        <f t="shared" ref="AZ12:AZ17" si="16">D12</f>
        <v>1.2847222222222218E-3</v>
      </c>
      <c r="BA12" s="114">
        <f t="shared" ref="BA12:BA17" si="17">G12</f>
        <v>1.2037037037037034E-3</v>
      </c>
      <c r="BB12" s="114">
        <f t="shared" ref="BB12:BB17" si="18">J12</f>
        <v>6.9444444444448361E-5</v>
      </c>
      <c r="BC12" s="114">
        <f t="shared" ref="BC12:BC17" si="19">M12</f>
        <v>3.7731481481481505E-3</v>
      </c>
      <c r="BD12" s="114">
        <f t="shared" ref="BD12:BD17" si="20">P12</f>
        <v>4.9421296296296227E-3</v>
      </c>
      <c r="BE12" s="114">
        <f t="shared" ref="BE12:BE17" si="21">S12</f>
        <v>4.8379629629629536E-3</v>
      </c>
      <c r="BF12" s="114">
        <f t="shared" ref="BF12:BF17" si="22">V12</f>
        <v>4.8611111111111077E-3</v>
      </c>
      <c r="BG12" s="114">
        <f t="shared" ref="BG12:BG17" si="23">Y12</f>
        <v>8.9814814814814653E-3</v>
      </c>
      <c r="BH12" s="114">
        <f t="shared" ref="BH12:BH17" si="24">AB12</f>
        <v>9.2939814814814725E-3</v>
      </c>
      <c r="BI12" s="114">
        <f t="shared" ref="BI12:BI17" si="25">AE12</f>
        <v>1.291666666666666E-2</v>
      </c>
      <c r="BJ12" s="114">
        <f t="shared" ref="BJ12:BJ17" si="26">AH12</f>
        <v>1.3310185185185175E-2</v>
      </c>
      <c r="BK12" s="114">
        <f t="shared" ref="BK12:BK17" si="27">AK12</f>
        <v>1.3148148148148145E-2</v>
      </c>
      <c r="BL12" s="114">
        <f t="shared" ref="BL12:BL17" si="28">AN12</f>
        <v>1.3715277777777785E-2</v>
      </c>
      <c r="BM12" s="114">
        <f t="shared" ref="BM12:BM17" si="29">AQ12</f>
        <v>1.3761574074074079E-2</v>
      </c>
      <c r="BN12" s="114">
        <f t="shared" ref="BN12:BN17" si="30">AT12</f>
        <v>1.3680555555555557E-2</v>
      </c>
      <c r="BO12" s="114">
        <f t="shared" ref="BO12:BO17" si="31">AW12</f>
        <v>1.6192129629629654E-2</v>
      </c>
    </row>
    <row r="13" spans="1:67">
      <c r="C13" s="101">
        <f>RANK(D5,D$4:D$9,1)</f>
        <v>6</v>
      </c>
      <c r="D13" s="102">
        <f t="shared" ref="D13:D17" si="32">D5-MIN(D$4,D$5,D$6,D$7,D$8,D$9)</f>
        <v>2.719907407407407E-3</v>
      </c>
      <c r="F13" s="101">
        <f>RANK(G5,G$4:G$9,1)</f>
        <v>6</v>
      </c>
      <c r="G13" s="102">
        <f t="shared" ref="G13:G17" si="33">G5-MIN(G$4,G$5,G$6,G$7,G$8,G$9)</f>
        <v>2.7546296296296277E-3</v>
      </c>
      <c r="I13" s="101">
        <f>RANK(J5,J$4:J$9,1)</f>
        <v>6</v>
      </c>
      <c r="J13" s="102">
        <f t="shared" ref="J13:J17" si="34">J5-MIN(J$4,J$5,J$6,J$7,J$8,J$9)</f>
        <v>3.0902777777777821E-3</v>
      </c>
      <c r="L13" s="101">
        <f>RANK(M5,M$4:M$9,1)</f>
        <v>5</v>
      </c>
      <c r="M13" s="102">
        <f t="shared" ref="M13:M17" si="35">M5-MIN(M$4,M$5,M$6,M$7,M$8,M$9)</f>
        <v>1.412037037037038E-3</v>
      </c>
      <c r="O13" s="101">
        <f>RANK(P5,P$4:P$9,1)</f>
        <v>5</v>
      </c>
      <c r="P13" s="102">
        <f t="shared" ref="P13:P17" si="36">P5-MIN(P$4,P$5,P$6,P$7,P$8,P$9)</f>
        <v>2.6504629629629517E-3</v>
      </c>
      <c r="R13" s="101">
        <f>RANK(S5,S$4:S$9,1)</f>
        <v>5</v>
      </c>
      <c r="S13" s="102">
        <f t="shared" ref="S13:S17" si="37">S5-MIN(S$4,S$5,S$6,S$7,S$8,S$9)</f>
        <v>2.8935185185185106E-3</v>
      </c>
      <c r="U13" s="101">
        <f>RANK(V5,V$4:V$9,1)</f>
        <v>5</v>
      </c>
      <c r="V13" s="102">
        <f t="shared" ref="V13:V17" si="38">V5-MIN(V$4,V$5,V$6,V$7,V$8,V$9)</f>
        <v>2.8587962962962898E-3</v>
      </c>
      <c r="X13" s="101">
        <f>RANK(Y5,Y$4:Y$9,1)</f>
        <v>5</v>
      </c>
      <c r="Y13" s="102">
        <f t="shared" ref="Y13:Y17" si="39">Y5-MIN(Y$4,Y$5,Y$6,Y$7,Y$8,Y$9)</f>
        <v>4.8726851851851744E-3</v>
      </c>
      <c r="AA13" s="101">
        <f>RANK(AB5,AB$4:AB$9,1)</f>
        <v>5</v>
      </c>
      <c r="AB13" s="102">
        <f t="shared" ref="AB13:AB17" si="40">AB5-MIN(AB$4,AB$5,AB$6,AB$7,AB$8,AB$9)</f>
        <v>4.6064814814814753E-3</v>
      </c>
      <c r="AD13" s="101">
        <f>RANK(AE5,AE$4:AE$9,1)</f>
        <v>5</v>
      </c>
      <c r="AE13" s="102">
        <f t="shared" ref="AE13:AE17" si="41">AE5-MIN(AE$4,AE$5,AE$6,AE$7,AE$8,AE$9)</f>
        <v>5.6712962962962854E-3</v>
      </c>
      <c r="AG13" s="101">
        <f>RANK(AH5,AH$4:AH$9,1)</f>
        <v>5</v>
      </c>
      <c r="AH13" s="102">
        <f t="shared" ref="AH13:AH17" si="42">AH5-MIN(AH$4,AH$5,AH$6,AH$7,AH$8,AH$9)</f>
        <v>5.7407407407407268E-3</v>
      </c>
      <c r="AJ13" s="101">
        <f>RANK(AK5,AK$4:AK$9,1)</f>
        <v>4</v>
      </c>
      <c r="AK13" s="102">
        <f t="shared" ref="AK13:AK17" si="43">AK5-MIN(AK$4,AK$5,AK$6,AK$7,AK$8,AK$9)</f>
        <v>5.520833333333322E-3</v>
      </c>
      <c r="AM13" s="101">
        <f>RANK(AN5,AN$4:AN$9,1)</f>
        <v>5</v>
      </c>
      <c r="AN13" s="102">
        <f t="shared" ref="AN13:AN17" si="44">AN5-MIN(AN$4,AN$5,AN$6,AN$7,AN$8,AN$9)</f>
        <v>5.7754629629629683E-3</v>
      </c>
      <c r="AP13" s="101">
        <f>RANK(AQ5,AQ$4:AQ$9,1)</f>
        <v>5</v>
      </c>
      <c r="AQ13" s="102">
        <f t="shared" ref="AQ13:AQ17" si="45">AQ5-MIN(AQ$4,AQ$5,AQ$6,AQ$7,AQ$8,AQ$9)</f>
        <v>5.9027777777777846E-3</v>
      </c>
      <c r="AS13" s="101">
        <f>RANK(AT5,AT$4:AT$9,1)</f>
        <v>5</v>
      </c>
      <c r="AT13" s="102">
        <f t="shared" ref="AT13:AT17" si="46">AT5-MIN(AT$4,AT$5,AT$6,AT$7,AT$8,AT$9)</f>
        <v>6.2037037037037113E-3</v>
      </c>
      <c r="AV13" s="101">
        <f>RANK(AW5,AW$4:AW$9,1)</f>
        <v>5</v>
      </c>
      <c r="AW13" s="102">
        <f t="shared" ref="AW13:AW17" si="47">AW5-MIN(AW$4,AW$5,AW$6,AW$7,AW$8,AW$9)</f>
        <v>6.9791666666666752E-3</v>
      </c>
      <c r="AX13" s="112"/>
      <c r="AY13" s="113" t="str">
        <f>A5</f>
        <v>Oranges, Lemons and Dim Sims</v>
      </c>
      <c r="AZ13" s="114">
        <f t="shared" si="16"/>
        <v>2.719907407407407E-3</v>
      </c>
      <c r="BA13" s="114">
        <f t="shared" si="17"/>
        <v>2.7546296296296277E-3</v>
      </c>
      <c r="BB13" s="114">
        <f t="shared" si="18"/>
        <v>3.0902777777777821E-3</v>
      </c>
      <c r="BC13" s="114">
        <f t="shared" si="19"/>
        <v>1.412037037037038E-3</v>
      </c>
      <c r="BD13" s="114">
        <f t="shared" si="20"/>
        <v>2.6504629629629517E-3</v>
      </c>
      <c r="BE13" s="114">
        <f t="shared" si="21"/>
        <v>2.8935185185185106E-3</v>
      </c>
      <c r="BF13" s="114">
        <f t="shared" si="22"/>
        <v>2.8587962962962898E-3</v>
      </c>
      <c r="BG13" s="114">
        <f t="shared" si="23"/>
        <v>4.8726851851851744E-3</v>
      </c>
      <c r="BH13" s="114">
        <f t="shared" si="24"/>
        <v>4.6064814814814753E-3</v>
      </c>
      <c r="BI13" s="114">
        <f t="shared" si="25"/>
        <v>5.6712962962962854E-3</v>
      </c>
      <c r="BJ13" s="114">
        <f t="shared" si="26"/>
        <v>5.7407407407407268E-3</v>
      </c>
      <c r="BK13" s="114">
        <f t="shared" si="27"/>
        <v>5.520833333333322E-3</v>
      </c>
      <c r="BL13" s="114">
        <f t="shared" si="28"/>
        <v>5.7754629629629683E-3</v>
      </c>
      <c r="BM13" s="114">
        <f t="shared" si="29"/>
        <v>5.9027777777777846E-3</v>
      </c>
      <c r="BN13" s="114">
        <f t="shared" si="30"/>
        <v>6.2037037037037113E-3</v>
      </c>
      <c r="BO13" s="114">
        <f t="shared" si="31"/>
        <v>6.9791666666666752E-3</v>
      </c>
    </row>
    <row r="14" spans="1:67">
      <c r="C14" s="101">
        <f>RANK(D6,D$4:D$9,1)</f>
        <v>4</v>
      </c>
      <c r="D14" s="102">
        <f t="shared" si="32"/>
        <v>7.0601851851851728E-4</v>
      </c>
      <c r="F14" s="101">
        <f>RANK(G6,G$4:G$9,1)</f>
        <v>3</v>
      </c>
      <c r="G14" s="102">
        <f t="shared" si="33"/>
        <v>6.8287037037036841E-4</v>
      </c>
      <c r="I14" s="101">
        <f>RANK(J6,J$4:J$9,1)</f>
        <v>1</v>
      </c>
      <c r="J14" s="102">
        <f t="shared" si="34"/>
        <v>0</v>
      </c>
      <c r="L14" s="101">
        <f>RANK(M6,M$4:M$9,1)</f>
        <v>1</v>
      </c>
      <c r="M14" s="102">
        <f t="shared" si="35"/>
        <v>0</v>
      </c>
      <c r="O14" s="101">
        <f>RANK(P6,P$4:P$9,1)</f>
        <v>3</v>
      </c>
      <c r="P14" s="102">
        <f t="shared" si="36"/>
        <v>3.0092592592591977E-4</v>
      </c>
      <c r="R14" s="101">
        <f>RANK(S6,S$4:S$9,1)</f>
        <v>1</v>
      </c>
      <c r="S14" s="102">
        <f t="shared" si="37"/>
        <v>0</v>
      </c>
      <c r="U14" s="101">
        <f>RANK(V6,V$4:V$9,1)</f>
        <v>1</v>
      </c>
      <c r="V14" s="102">
        <f t="shared" si="38"/>
        <v>0</v>
      </c>
      <c r="X14" s="101">
        <f>RANK(Y6,Y$4:Y$9,1)</f>
        <v>1</v>
      </c>
      <c r="Y14" s="102">
        <f t="shared" si="39"/>
        <v>0</v>
      </c>
      <c r="AA14" s="101">
        <f>RANK(AB6,AB$4:AB$9,1)</f>
        <v>1</v>
      </c>
      <c r="AB14" s="102">
        <f t="shared" si="40"/>
        <v>0</v>
      </c>
      <c r="AD14" s="101">
        <f>RANK(AE6,AE$4:AE$9,1)</f>
        <v>1</v>
      </c>
      <c r="AE14" s="102">
        <f t="shared" si="41"/>
        <v>0</v>
      </c>
      <c r="AG14" s="101">
        <f>RANK(AH6,AH$4:AH$9,1)</f>
        <v>1</v>
      </c>
      <c r="AH14" s="102">
        <f t="shared" si="42"/>
        <v>0</v>
      </c>
      <c r="AJ14" s="101">
        <f>RANK(AK6,AK$4:AK$9,1)</f>
        <v>1</v>
      </c>
      <c r="AK14" s="102">
        <f t="shared" si="43"/>
        <v>0</v>
      </c>
      <c r="AM14" s="101">
        <f>RANK(AN6,AN$4:AN$9,1)</f>
        <v>1</v>
      </c>
      <c r="AN14" s="102">
        <f t="shared" si="44"/>
        <v>0</v>
      </c>
      <c r="AP14" s="101">
        <f>RANK(AQ6,AQ$4:AQ$9,1)</f>
        <v>1</v>
      </c>
      <c r="AQ14" s="102">
        <f t="shared" si="45"/>
        <v>0</v>
      </c>
      <c r="AS14" s="101">
        <f>RANK(AT6,AT$4:AT$9,1)</f>
        <v>1</v>
      </c>
      <c r="AT14" s="102">
        <f t="shared" si="46"/>
        <v>0</v>
      </c>
      <c r="AV14" s="101">
        <f>RANK(AW6,AW$4:AW$9,1)</f>
        <v>1</v>
      </c>
      <c r="AW14" s="102">
        <f t="shared" si="47"/>
        <v>0</v>
      </c>
      <c r="AX14" s="112"/>
      <c r="AY14" s="113" t="str">
        <f>A6</f>
        <v>Ron Burgundy</v>
      </c>
      <c r="AZ14" s="114">
        <f t="shared" si="16"/>
        <v>7.0601851851851728E-4</v>
      </c>
      <c r="BA14" s="114">
        <f t="shared" si="17"/>
        <v>6.8287037037036841E-4</v>
      </c>
      <c r="BB14" s="114">
        <f t="shared" si="18"/>
        <v>0</v>
      </c>
      <c r="BC14" s="114">
        <f t="shared" si="19"/>
        <v>0</v>
      </c>
      <c r="BD14" s="114">
        <f t="shared" si="20"/>
        <v>3.0092592592591977E-4</v>
      </c>
      <c r="BE14" s="114">
        <f t="shared" si="21"/>
        <v>0</v>
      </c>
      <c r="BF14" s="114">
        <f t="shared" si="22"/>
        <v>0</v>
      </c>
      <c r="BG14" s="114">
        <f t="shared" si="23"/>
        <v>0</v>
      </c>
      <c r="BH14" s="114">
        <f t="shared" si="24"/>
        <v>0</v>
      </c>
      <c r="BI14" s="114">
        <f t="shared" si="25"/>
        <v>0</v>
      </c>
      <c r="BJ14" s="114">
        <f t="shared" si="26"/>
        <v>0</v>
      </c>
      <c r="BK14" s="114">
        <f t="shared" si="27"/>
        <v>0</v>
      </c>
      <c r="BL14" s="114">
        <f t="shared" si="28"/>
        <v>0</v>
      </c>
      <c r="BM14" s="114">
        <f t="shared" si="29"/>
        <v>0</v>
      </c>
      <c r="BN14" s="114">
        <f t="shared" si="30"/>
        <v>0</v>
      </c>
      <c r="BO14" s="114">
        <f t="shared" si="31"/>
        <v>0</v>
      </c>
    </row>
    <row r="15" spans="1:67">
      <c r="C15" s="101">
        <f>RANK(D7,D$4:D$9,1)</f>
        <v>1</v>
      </c>
      <c r="D15" s="102">
        <f t="shared" si="32"/>
        <v>0</v>
      </c>
      <c r="F15" s="101">
        <f>RANK(G7,G$4:G$9,1)</f>
        <v>1</v>
      </c>
      <c r="G15" s="102">
        <f t="shared" si="33"/>
        <v>0</v>
      </c>
      <c r="I15" s="101">
        <f>RANK(J7,J$4:J$9,1)</f>
        <v>4</v>
      </c>
      <c r="J15" s="102">
        <f t="shared" si="34"/>
        <v>6.3657407407408106E-4</v>
      </c>
      <c r="L15" s="101">
        <f>RANK(M7,M$4:M$9,1)</f>
        <v>3</v>
      </c>
      <c r="M15" s="102">
        <f t="shared" si="35"/>
        <v>7.2916666666667657E-4</v>
      </c>
      <c r="O15" s="101">
        <f>RANK(P7,P$4:P$9,1)</f>
        <v>1</v>
      </c>
      <c r="P15" s="102">
        <f t="shared" si="36"/>
        <v>0</v>
      </c>
      <c r="R15" s="101">
        <f>RANK(S7,S$4:S$9,1)</f>
        <v>2</v>
      </c>
      <c r="S15" s="102">
        <f t="shared" si="37"/>
        <v>2.7777777777777957E-4</v>
      </c>
      <c r="U15" s="101">
        <f>RANK(V7,V$4:V$9,1)</f>
        <v>3</v>
      </c>
      <c r="V15" s="102">
        <f t="shared" si="38"/>
        <v>1.574074074074075E-3</v>
      </c>
      <c r="X15" s="101">
        <f>RANK(Y7,Y$4:Y$9,1)</f>
        <v>4</v>
      </c>
      <c r="Y15" s="102">
        <f t="shared" si="39"/>
        <v>1.6319444444444359E-3</v>
      </c>
      <c r="AA15" s="101">
        <f>RANK(AB7,AB$4:AB$9,1)</f>
        <v>4</v>
      </c>
      <c r="AB15" s="102">
        <f t="shared" si="40"/>
        <v>2.5115740740740689E-3</v>
      </c>
      <c r="AD15" s="101">
        <f>RANK(AE7,AE$4:AE$9,1)</f>
        <v>4</v>
      </c>
      <c r="AE15" s="102">
        <f t="shared" si="41"/>
        <v>2.7662037037037013E-3</v>
      </c>
      <c r="AG15" s="101">
        <f>RANK(AH7,AH$4:AH$9,1)</f>
        <v>4</v>
      </c>
      <c r="AH15" s="102">
        <f t="shared" si="42"/>
        <v>3.1944444444444442E-3</v>
      </c>
      <c r="AJ15" s="101">
        <f>RANK(AK7,AK$4:AK$9,1)</f>
        <v>5</v>
      </c>
      <c r="AK15" s="102">
        <f t="shared" si="43"/>
        <v>5.7175925925925936E-3</v>
      </c>
      <c r="AM15" s="101">
        <f>RANK(AN7,AN$4:AN$9,1)</f>
        <v>4</v>
      </c>
      <c r="AN15" s="102">
        <f t="shared" si="44"/>
        <v>4.4907407407407396E-3</v>
      </c>
      <c r="AP15" s="101">
        <f>RANK(AQ7,AQ$4:AQ$9,1)</f>
        <v>4</v>
      </c>
      <c r="AQ15" s="102">
        <f t="shared" si="45"/>
        <v>4.7569444444444386E-3</v>
      </c>
      <c r="AS15" s="101">
        <f>RANK(AT7,AT$4:AT$9,1)</f>
        <v>4</v>
      </c>
      <c r="AT15" s="102">
        <f t="shared" si="46"/>
        <v>5.3240740740740644E-3</v>
      </c>
      <c r="AV15" s="101">
        <f>RANK(AW7,AW$4:AW$9,1)</f>
        <v>4</v>
      </c>
      <c r="AW15" s="102">
        <f t="shared" si="47"/>
        <v>5.2199074074074092E-3</v>
      </c>
      <c r="AX15" s="112"/>
      <c r="AY15" s="113" t="str">
        <f>A7</f>
        <v>Magpie Army</v>
      </c>
      <c r="AZ15" s="114">
        <f t="shared" si="16"/>
        <v>0</v>
      </c>
      <c r="BA15" s="114">
        <f t="shared" si="17"/>
        <v>0</v>
      </c>
      <c r="BB15" s="114">
        <f t="shared" si="18"/>
        <v>6.3657407407408106E-4</v>
      </c>
      <c r="BC15" s="114">
        <f t="shared" si="19"/>
        <v>7.2916666666667657E-4</v>
      </c>
      <c r="BD15" s="114">
        <f t="shared" si="20"/>
        <v>0</v>
      </c>
      <c r="BE15" s="114">
        <f t="shared" si="21"/>
        <v>2.7777777777777957E-4</v>
      </c>
      <c r="BF15" s="114">
        <f t="shared" si="22"/>
        <v>1.574074074074075E-3</v>
      </c>
      <c r="BG15" s="114">
        <f t="shared" si="23"/>
        <v>1.6319444444444359E-3</v>
      </c>
      <c r="BH15" s="114">
        <f t="shared" si="24"/>
        <v>2.5115740740740689E-3</v>
      </c>
      <c r="BI15" s="114">
        <f t="shared" si="25"/>
        <v>2.7662037037037013E-3</v>
      </c>
      <c r="BJ15" s="114">
        <f t="shared" si="26"/>
        <v>3.1944444444444442E-3</v>
      </c>
      <c r="BK15" s="114">
        <f t="shared" si="27"/>
        <v>5.7175925925925936E-3</v>
      </c>
      <c r="BL15" s="114">
        <f t="shared" si="28"/>
        <v>4.4907407407407396E-3</v>
      </c>
      <c r="BM15" s="114">
        <f t="shared" si="29"/>
        <v>4.7569444444444386E-3</v>
      </c>
      <c r="BN15" s="114">
        <f t="shared" si="30"/>
        <v>5.3240740740740644E-3</v>
      </c>
      <c r="BO15" s="114">
        <f t="shared" si="31"/>
        <v>5.2199074074074092E-3</v>
      </c>
    </row>
    <row r="16" spans="1:67">
      <c r="C16" s="101">
        <f>RANK(D8,D$4:D$9,1)</f>
        <v>2</v>
      </c>
      <c r="D16" s="102">
        <f t="shared" si="32"/>
        <v>2.7777777777777783E-4</v>
      </c>
      <c r="F16" s="101">
        <f>RANK(G8,G$4:G$9,1)</f>
        <v>2</v>
      </c>
      <c r="G16" s="102">
        <f t="shared" si="33"/>
        <v>4.8611111111111077E-4</v>
      </c>
      <c r="I16" s="101">
        <f>RANK(J8,J$4:J$9,1)</f>
        <v>3</v>
      </c>
      <c r="J16" s="102">
        <f t="shared" si="34"/>
        <v>3.0092592592593018E-4</v>
      </c>
      <c r="L16" s="101">
        <f>RANK(M8,M$4:M$9,1)</f>
        <v>2</v>
      </c>
      <c r="M16" s="102">
        <f t="shared" si="35"/>
        <v>5.4398148148148556E-4</v>
      </c>
      <c r="O16" s="101">
        <f>RANK(P8,P$4:P$9,1)</f>
        <v>2</v>
      </c>
      <c r="P16" s="102">
        <f t="shared" si="36"/>
        <v>1.1574074074066631E-5</v>
      </c>
      <c r="R16" s="101">
        <f>RANK(S8,S$4:S$9,1)</f>
        <v>3</v>
      </c>
      <c r="S16" s="102">
        <f t="shared" si="37"/>
        <v>4.3981481481481649E-4</v>
      </c>
      <c r="U16" s="101">
        <f>RANK(V8,V$4:V$9,1)</f>
        <v>2</v>
      </c>
      <c r="V16" s="102">
        <f t="shared" si="38"/>
        <v>1.2731481481481483E-3</v>
      </c>
      <c r="X16" s="101">
        <f>RANK(Y8,Y$4:Y$9,1)</f>
        <v>3</v>
      </c>
      <c r="Y16" s="102">
        <f t="shared" si="39"/>
        <v>1.5509259259259278E-3</v>
      </c>
      <c r="AA16" s="101">
        <f>RANK(AB8,AB$4:AB$9,1)</f>
        <v>3</v>
      </c>
      <c r="AB16" s="102">
        <f t="shared" si="40"/>
        <v>1.4467592592592587E-3</v>
      </c>
      <c r="AD16" s="101">
        <f>RANK(AE8,AE$4:AE$9,1)</f>
        <v>3</v>
      </c>
      <c r="AE16" s="102">
        <f t="shared" si="41"/>
        <v>2.0717592592592593E-3</v>
      </c>
      <c r="AG16" s="101">
        <f>RANK(AH8,AH$4:AH$9,1)</f>
        <v>3</v>
      </c>
      <c r="AH16" s="102">
        <f t="shared" si="42"/>
        <v>2.3611111111111055E-3</v>
      </c>
      <c r="AJ16" s="101">
        <f>RANK(AK8,AK$4:AK$9,1)</f>
        <v>3</v>
      </c>
      <c r="AK16" s="102">
        <f t="shared" si="43"/>
        <v>2.6851851851851793E-3</v>
      </c>
      <c r="AM16" s="101">
        <f>RANK(AN8,AN$4:AN$9,1)</f>
        <v>3</v>
      </c>
      <c r="AN16" s="102">
        <f t="shared" si="44"/>
        <v>2.8935185185185175E-3</v>
      </c>
      <c r="AP16" s="101">
        <f>RANK(AQ8,AQ$4:AQ$9,1)</f>
        <v>3</v>
      </c>
      <c r="AQ16" s="102">
        <f t="shared" si="45"/>
        <v>3.2870370370370328E-3</v>
      </c>
      <c r="AS16" s="101">
        <f>RANK(AT8,AT$4:AT$9,1)</f>
        <v>3</v>
      </c>
      <c r="AT16" s="102">
        <f t="shared" si="46"/>
        <v>3.6342592592592537E-3</v>
      </c>
      <c r="AV16" s="101">
        <f>RANK(AW8,AW$4:AW$9,1)</f>
        <v>3</v>
      </c>
      <c r="AW16" s="102">
        <f t="shared" si="47"/>
        <v>4.2013888888888795E-3</v>
      </c>
      <c r="AX16" s="112"/>
      <c r="AY16" s="113" t="str">
        <f>A8</f>
        <v>Daylight Chasers</v>
      </c>
      <c r="AZ16" s="114">
        <f t="shared" si="16"/>
        <v>2.7777777777777783E-4</v>
      </c>
      <c r="BA16" s="114">
        <f t="shared" si="17"/>
        <v>4.8611111111111077E-4</v>
      </c>
      <c r="BB16" s="114">
        <f t="shared" si="18"/>
        <v>3.0092592592593018E-4</v>
      </c>
      <c r="BC16" s="114">
        <f t="shared" si="19"/>
        <v>5.4398148148148556E-4</v>
      </c>
      <c r="BD16" s="114">
        <f t="shared" si="20"/>
        <v>1.1574074074066631E-5</v>
      </c>
      <c r="BE16" s="114">
        <f t="shared" si="21"/>
        <v>4.3981481481481649E-4</v>
      </c>
      <c r="BF16" s="114">
        <f t="shared" si="22"/>
        <v>1.2731481481481483E-3</v>
      </c>
      <c r="BG16" s="114">
        <f t="shared" si="23"/>
        <v>1.5509259259259278E-3</v>
      </c>
      <c r="BH16" s="114">
        <f t="shared" si="24"/>
        <v>1.4467592592592587E-3</v>
      </c>
      <c r="BI16" s="114">
        <f t="shared" si="25"/>
        <v>2.0717592592592593E-3</v>
      </c>
      <c r="BJ16" s="114">
        <f t="shared" si="26"/>
        <v>2.3611111111111055E-3</v>
      </c>
      <c r="BK16" s="114">
        <f t="shared" si="27"/>
        <v>2.6851851851851793E-3</v>
      </c>
      <c r="BL16" s="114">
        <f t="shared" si="28"/>
        <v>2.8935185185185175E-3</v>
      </c>
      <c r="BM16" s="114">
        <f t="shared" si="29"/>
        <v>3.2870370370370328E-3</v>
      </c>
      <c r="BN16" s="114">
        <f t="shared" si="30"/>
        <v>3.6342592592592537E-3</v>
      </c>
      <c r="BO16" s="114">
        <f t="shared" si="31"/>
        <v>4.2013888888888795E-3</v>
      </c>
    </row>
    <row r="17" spans="3:67">
      <c r="C17" s="101">
        <f>RANK(D9,D$4:D$9,1)</f>
        <v>3</v>
      </c>
      <c r="D17" s="102">
        <f t="shared" si="32"/>
        <v>5.555555555555574E-4</v>
      </c>
      <c r="F17" s="101">
        <f>RANK(G9,G$4:G$9,1)</f>
        <v>5</v>
      </c>
      <c r="G17" s="102">
        <f t="shared" si="33"/>
        <v>1.2615740740740747E-3</v>
      </c>
      <c r="I17" s="101">
        <f>RANK(J9,J$4:J$9,1)</f>
        <v>5</v>
      </c>
      <c r="J17" s="102">
        <f t="shared" si="34"/>
        <v>9.1435185185186063E-4</v>
      </c>
      <c r="L17" s="101">
        <f>RANK(M9,M$4:M$9,1)</f>
        <v>4</v>
      </c>
      <c r="M17" s="102">
        <f t="shared" si="35"/>
        <v>7.4074074074075014E-4</v>
      </c>
      <c r="O17" s="101">
        <f>RANK(P9,P$4:P$9,1)</f>
        <v>4</v>
      </c>
      <c r="P17" s="102">
        <f t="shared" si="36"/>
        <v>5.3240740740740505E-4</v>
      </c>
      <c r="R17" s="101">
        <f>RANK(S9,S$4:S$9,1)</f>
        <v>4</v>
      </c>
      <c r="S17" s="102">
        <f t="shared" si="37"/>
        <v>1.1342592592592654E-3</v>
      </c>
      <c r="U17" s="101">
        <f>RANK(V9,V$4:V$9,1)</f>
        <v>4</v>
      </c>
      <c r="V17" s="102">
        <f t="shared" si="38"/>
        <v>1.7129629629629717E-3</v>
      </c>
      <c r="X17" s="101">
        <f>RANK(Y9,Y$4:Y$9,1)</f>
        <v>2</v>
      </c>
      <c r="Y17" s="102">
        <f t="shared" si="39"/>
        <v>1.4583333333333393E-3</v>
      </c>
      <c r="AA17" s="101">
        <f>RANK(AB9,AB$4:AB$9,1)</f>
        <v>2</v>
      </c>
      <c r="AB17" s="102">
        <f t="shared" si="40"/>
        <v>8.7962962962963298E-4</v>
      </c>
      <c r="AD17" s="101">
        <f>RANK(AE9,AE$4:AE$9,1)</f>
        <v>2</v>
      </c>
      <c r="AE17" s="102">
        <f t="shared" si="41"/>
        <v>7.5231481481481677E-4</v>
      </c>
      <c r="AG17" s="101">
        <f>RANK(AH9,AH$4:AH$9,1)</f>
        <v>2</v>
      </c>
      <c r="AH17" s="102">
        <f t="shared" si="42"/>
        <v>1.6435185185185164E-3</v>
      </c>
      <c r="AJ17" s="101">
        <f>RANK(AK9,AK$4:AK$9,1)</f>
        <v>2</v>
      </c>
      <c r="AK17" s="102">
        <f t="shared" si="43"/>
        <v>2.1759259259259284E-3</v>
      </c>
      <c r="AM17" s="101">
        <f>RANK(AN9,AN$4:AN$9,1)</f>
        <v>2</v>
      </c>
      <c r="AN17" s="102">
        <f t="shared" si="44"/>
        <v>1.2615740740740955E-3</v>
      </c>
      <c r="AP17" s="101">
        <f>RANK(AQ9,AQ$4:AQ$9,1)</f>
        <v>2</v>
      </c>
      <c r="AQ17" s="102">
        <f t="shared" si="45"/>
        <v>5.2083333333335924E-4</v>
      </c>
      <c r="AS17" s="101">
        <f>RANK(AT9,AT$4:AT$9,1)</f>
        <v>2</v>
      </c>
      <c r="AT17" s="102">
        <f t="shared" si="46"/>
        <v>2.152777777777809E-3</v>
      </c>
      <c r="AV17" s="101">
        <f>RANK(AW9,AW$4:AW$9,1)</f>
        <v>2</v>
      </c>
      <c r="AW17" s="102">
        <f t="shared" si="47"/>
        <v>1.6435185185185441E-3</v>
      </c>
      <c r="AX17" s="112"/>
      <c r="AY17" s="113" t="str">
        <f>A9</f>
        <v>The Undeserving Favourites</v>
      </c>
      <c r="AZ17" s="114">
        <f t="shared" si="16"/>
        <v>5.555555555555574E-4</v>
      </c>
      <c r="BA17" s="114">
        <f t="shared" si="17"/>
        <v>1.2615740740740747E-3</v>
      </c>
      <c r="BB17" s="114">
        <f t="shared" si="18"/>
        <v>9.1435185185186063E-4</v>
      </c>
      <c r="BC17" s="114">
        <f t="shared" si="19"/>
        <v>7.4074074074075014E-4</v>
      </c>
      <c r="BD17" s="114">
        <f t="shared" si="20"/>
        <v>5.3240740740740505E-4</v>
      </c>
      <c r="BE17" s="114">
        <f t="shared" si="21"/>
        <v>1.1342592592592654E-3</v>
      </c>
      <c r="BF17" s="114">
        <f t="shared" si="22"/>
        <v>1.7129629629629717E-3</v>
      </c>
      <c r="BG17" s="114">
        <f t="shared" si="23"/>
        <v>1.4583333333333393E-3</v>
      </c>
      <c r="BH17" s="114">
        <f t="shared" si="24"/>
        <v>8.7962962962963298E-4</v>
      </c>
      <c r="BI17" s="114">
        <f t="shared" si="25"/>
        <v>7.5231481481481677E-4</v>
      </c>
      <c r="BJ17" s="114">
        <f t="shared" si="26"/>
        <v>1.6435185185185164E-3</v>
      </c>
      <c r="BK17" s="114">
        <f t="shared" si="27"/>
        <v>2.1759259259259284E-3</v>
      </c>
      <c r="BL17" s="114">
        <f t="shared" si="28"/>
        <v>1.2615740740740955E-3</v>
      </c>
      <c r="BM17" s="114">
        <f t="shared" si="29"/>
        <v>5.2083333333335924E-4</v>
      </c>
      <c r="BN17" s="114">
        <f t="shared" si="30"/>
        <v>2.152777777777809E-3</v>
      </c>
      <c r="BO17" s="114">
        <f t="shared" si="31"/>
        <v>1.6435185185185441E-3</v>
      </c>
    </row>
  </sheetData>
  <phoneticPr fontId="0" type="noConversion"/>
  <pageMargins left="0.75" right="0.75" top="1" bottom="1" header="0.5" footer="0.5"/>
  <pageSetup paperSize="9" scale="1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42"/>
  <sheetViews>
    <sheetView showZeros="0" zoomScale="95" workbookViewId="0"/>
  </sheetViews>
  <sheetFormatPr defaultRowHeight="12.75"/>
  <cols>
    <col min="1" max="1" width="3.7109375" style="2" customWidth="1"/>
    <col min="2" max="2" width="16.42578125" style="1" customWidth="1"/>
    <col min="3" max="3" width="5.7109375" style="2" customWidth="1"/>
    <col min="4" max="4" width="5.7109375" style="7" customWidth="1"/>
    <col min="5" max="5" width="5.7109375" style="3" customWidth="1"/>
    <col min="6" max="6" width="6.7109375" style="7" customWidth="1"/>
    <col min="7" max="7" width="1.7109375" style="1" customWidth="1"/>
    <col min="8" max="8" width="5.7109375" style="2" customWidth="1"/>
    <col min="9" max="9" width="5.7109375" style="7" customWidth="1"/>
    <col min="10" max="10" width="5.7109375" style="3" customWidth="1"/>
    <col min="11" max="11" width="6.7109375" style="7" customWidth="1"/>
    <col min="12" max="12" width="1.7109375" style="1" customWidth="1"/>
    <col min="13" max="13" width="5.7109375" style="2" customWidth="1"/>
    <col min="14" max="14" width="7.85546875" style="7" bestFit="1" customWidth="1"/>
    <col min="15" max="15" width="5.7109375" style="3" customWidth="1"/>
    <col min="16" max="16" width="6.7109375" style="7" customWidth="1"/>
    <col min="17" max="17" width="1.7109375" style="1" customWidth="1"/>
    <col min="18" max="18" width="5.7109375" style="2" customWidth="1"/>
    <col min="19" max="19" width="5.7109375" style="7" customWidth="1"/>
    <col min="20" max="20" width="5.7109375" style="3" customWidth="1"/>
    <col min="21" max="21" width="6.7109375" style="7" customWidth="1"/>
    <col min="22" max="22" width="1.7109375" style="1" customWidth="1"/>
    <col min="23" max="23" width="7.7109375" style="3" customWidth="1"/>
    <col min="24" max="25" width="7.7109375" style="7" customWidth="1"/>
    <col min="26" max="26" width="1.140625" style="1" customWidth="1"/>
    <col min="27" max="16384" width="9.140625" style="1"/>
  </cols>
  <sheetData>
    <row r="1" spans="1:27" s="6" customFormat="1">
      <c r="A1" s="21"/>
      <c r="B1" s="22"/>
      <c r="C1" s="8" t="s">
        <v>33</v>
      </c>
      <c r="D1" s="14"/>
      <c r="E1" s="16"/>
      <c r="F1" s="18"/>
      <c r="G1" s="1"/>
      <c r="H1" s="8" t="s">
        <v>34</v>
      </c>
      <c r="I1" s="14"/>
      <c r="J1" s="16"/>
      <c r="K1" s="18"/>
      <c r="L1" s="1"/>
      <c r="M1" s="8" t="s">
        <v>35</v>
      </c>
      <c r="N1" s="14"/>
      <c r="O1" s="16"/>
      <c r="P1" s="18"/>
      <c r="Q1" s="1"/>
      <c r="R1" s="8" t="s">
        <v>36</v>
      </c>
      <c r="S1" s="14"/>
      <c r="T1" s="16"/>
      <c r="U1" s="18"/>
      <c r="W1" s="24" t="s">
        <v>39</v>
      </c>
      <c r="X1" s="23" t="s">
        <v>39</v>
      </c>
      <c r="Y1" s="23" t="s">
        <v>40</v>
      </c>
    </row>
    <row r="2" spans="1:27">
      <c r="B2" s="158" t="s">
        <v>28</v>
      </c>
      <c r="C2" s="153" t="s">
        <v>11</v>
      </c>
      <c r="D2" s="23" t="s">
        <v>7</v>
      </c>
      <c r="E2" s="24" t="s">
        <v>32</v>
      </c>
      <c r="F2" s="23" t="s">
        <v>8</v>
      </c>
      <c r="H2" s="9" t="s">
        <v>11</v>
      </c>
      <c r="I2" s="15" t="s">
        <v>7</v>
      </c>
      <c r="J2" s="17" t="s">
        <v>32</v>
      </c>
      <c r="K2" s="15" t="s">
        <v>8</v>
      </c>
      <c r="M2" s="9" t="s">
        <v>11</v>
      </c>
      <c r="N2" s="15" t="s">
        <v>7</v>
      </c>
      <c r="O2" s="17" t="s">
        <v>32</v>
      </c>
      <c r="P2" s="15" t="s">
        <v>8</v>
      </c>
      <c r="R2" s="9" t="s">
        <v>11</v>
      </c>
      <c r="S2" s="15" t="s">
        <v>7</v>
      </c>
      <c r="T2" s="17" t="s">
        <v>32</v>
      </c>
      <c r="U2" s="15" t="s">
        <v>8</v>
      </c>
      <c r="W2" s="131" t="s">
        <v>38</v>
      </c>
      <c r="X2" s="132" t="s">
        <v>7</v>
      </c>
      <c r="Y2" s="132" t="s">
        <v>8</v>
      </c>
      <c r="AA2" s="2" t="s">
        <v>10</v>
      </c>
    </row>
    <row r="3" spans="1:27">
      <c r="A3" s="4"/>
      <c r="B3" s="155" t="str">
        <f>+'Team Selection'!D3</f>
        <v>Andrew Coles</v>
      </c>
      <c r="C3" s="127">
        <f>VLOOKUP($B3&amp;"1",Data!$C:$G,2,FALSE)</f>
        <v>3</v>
      </c>
      <c r="D3" s="128">
        <f>VLOOKUP($B3&amp;"1",Data!$C:$G,4,FALSE)</f>
        <v>7.905092592592592E-3</v>
      </c>
      <c r="E3" s="129">
        <f>VLOOKUP($B3&amp;"1",Data!$C:$G,5,FALSE)</f>
        <v>3.39</v>
      </c>
      <c r="F3" s="130">
        <f>+D3/E3</f>
        <v>2.3318857205287882E-3</v>
      </c>
      <c r="H3" s="127">
        <f>VLOOKUP($B3&amp;"2",Data!$C:$G,2,FALSE)</f>
        <v>7</v>
      </c>
      <c r="I3" s="128">
        <f>VLOOKUP($B3&amp;"2",Data!$C:$G,4,FALSE)</f>
        <v>1.0138888888888888E-2</v>
      </c>
      <c r="J3" s="129">
        <f>VLOOKUP($B3&amp;"2",Data!$C:$G,5,FALSE)</f>
        <v>4.6399999999999997</v>
      </c>
      <c r="K3" s="130">
        <f>+I3/J3</f>
        <v>2.1851053639846746E-3</v>
      </c>
      <c r="M3" s="127">
        <f>VLOOKUP($B3&amp;"3",Data!$C:$G,2,FALSE)</f>
        <v>12</v>
      </c>
      <c r="N3" s="128">
        <f>VLOOKUP($B3&amp;"3",Data!$C:$G,4,FALSE)</f>
        <v>1.0462962962962964E-2</v>
      </c>
      <c r="O3" s="129">
        <f>VLOOKUP($B3&amp;"3",Data!$C:$G,5,FALSE)</f>
        <v>4.5</v>
      </c>
      <c r="P3" s="130">
        <f>+N3/O3</f>
        <v>2.3251028806584363E-3</v>
      </c>
      <c r="R3" s="127">
        <f>VLOOKUP($B3&amp;"4",Data!$C:$G,2,FALSE)</f>
        <v>15</v>
      </c>
      <c r="S3" s="128">
        <f>VLOOKUP($B3&amp;"4",Data!$C:$G,4,FALSE)</f>
        <v>9.8032407407407408E-3</v>
      </c>
      <c r="T3" s="129">
        <f>VLOOKUP($B3&amp;"4",Data!$C:$G,5,FALSE)</f>
        <v>4.49</v>
      </c>
      <c r="U3" s="130">
        <f>+S3/T3</f>
        <v>2.1833498308999424E-3</v>
      </c>
      <c r="W3" s="133">
        <f>SUM(E3,J3,O3,T3)</f>
        <v>17.02</v>
      </c>
      <c r="X3" s="152">
        <f>SUM(D3,I3,N3,S3)</f>
        <v>3.8310185185185183E-2</v>
      </c>
      <c r="Y3" s="130">
        <f>SUM(D3,I3,N3,S3)/W3</f>
        <v>2.2508921965443702E-3</v>
      </c>
      <c r="AA3" s="2">
        <f>RANK(Y3,Y$3:Y$8,1)</f>
        <v>1</v>
      </c>
    </row>
    <row r="4" spans="1:27">
      <c r="A4" s="4"/>
      <c r="B4" s="126" t="str">
        <f>+'Team Selection'!D4</f>
        <v>Joji Mori</v>
      </c>
      <c r="C4" s="127">
        <f>VLOOKUP($B4&amp;"1",Data!$C:$G,2,FALSE)</f>
        <v>4</v>
      </c>
      <c r="D4" s="128">
        <f>VLOOKUP($B4&amp;"1",Data!$C:$G,4,FALSE)</f>
        <v>8.1828703703703699E-3</v>
      </c>
      <c r="E4" s="129">
        <f>VLOOKUP($B4&amp;"1",Data!$C:$G,5,FALSE)</f>
        <v>3.39</v>
      </c>
      <c r="F4" s="130">
        <f t="shared" ref="F4:F8" si="0">+D4/E4</f>
        <v>2.4138260679558614E-3</v>
      </c>
      <c r="H4" s="127">
        <f>VLOOKUP($B4&amp;"2",Data!$C:$G,2,FALSE)</f>
        <v>7</v>
      </c>
      <c r="I4" s="128">
        <f>VLOOKUP($B4&amp;"2",Data!$C:$G,4,FALSE)</f>
        <v>1.0081018518518519E-2</v>
      </c>
      <c r="J4" s="129">
        <f>VLOOKUP($B4&amp;"2",Data!$C:$G,5,FALSE)</f>
        <v>4.6399999999999997</v>
      </c>
      <c r="K4" s="130">
        <f t="shared" ref="K4:K8" si="1">+I4/J4</f>
        <v>2.1726333014048531E-3</v>
      </c>
      <c r="M4" s="127">
        <f>VLOOKUP($B4&amp;"3",Data!$C:$G,2,FALSE)</f>
        <v>12</v>
      </c>
      <c r="N4" s="128">
        <f>VLOOKUP($B4&amp;"3",Data!$C:$G,4,FALSE)</f>
        <v>1.0405092592592593E-2</v>
      </c>
      <c r="O4" s="129">
        <f>VLOOKUP($B4&amp;"3",Data!$C:$G,5,FALSE)</f>
        <v>4.5</v>
      </c>
      <c r="P4" s="130">
        <f t="shared" ref="P4:P8" si="2">+N4/O4</f>
        <v>2.3122427983539094E-3</v>
      </c>
      <c r="R4" s="127">
        <f>VLOOKUP($B4&amp;"4",Data!$C:$G,2,FALSE)</f>
        <v>15</v>
      </c>
      <c r="S4" s="128">
        <f>VLOOKUP($B4&amp;"4",Data!$C:$G,4,FALSE)</f>
        <v>1.0185185185185184E-2</v>
      </c>
      <c r="T4" s="129">
        <f>VLOOKUP($B4&amp;"4",Data!$C:$G,5,FALSE)</f>
        <v>4.49</v>
      </c>
      <c r="U4" s="130">
        <f t="shared" ref="U4:U8" si="3">+S4/T4</f>
        <v>2.2684154087272124E-3</v>
      </c>
      <c r="W4" s="133">
        <f t="shared" ref="W4:W8" si="4">SUM(E4,J4,O4,T4)</f>
        <v>17.02</v>
      </c>
      <c r="X4" s="152">
        <f t="shared" ref="X4:X8" si="5">SUM(D4,I4,N4,S4)</f>
        <v>3.8854166666666669E-2</v>
      </c>
      <c r="Y4" s="130">
        <f t="shared" ref="Y4:Y8" si="6">SUM(D4,I4,N4,S4)/W4</f>
        <v>2.2828535056795929E-3</v>
      </c>
      <c r="AA4" s="2">
        <f>RANK(Y4,Y$3:Y$8,1)</f>
        <v>2</v>
      </c>
    </row>
    <row r="5" spans="1:27">
      <c r="A5" s="4"/>
      <c r="B5" s="126" t="str">
        <f>+'Team Selection'!D5</f>
        <v>Paul Munro</v>
      </c>
      <c r="C5" s="127">
        <f>VLOOKUP($B5&amp;"1",Data!$C:$G,2,FALSE)</f>
        <v>3</v>
      </c>
      <c r="D5" s="128">
        <f>VLOOKUP($B5&amp;"1",Data!$C:$G,4,FALSE)</f>
        <v>8.3564814814814804E-3</v>
      </c>
      <c r="E5" s="129">
        <f>VLOOKUP($B5&amp;"1",Data!$C:$G,5,FALSE)</f>
        <v>3.39</v>
      </c>
      <c r="F5" s="130">
        <f t="shared" si="0"/>
        <v>2.4650387850977816E-3</v>
      </c>
      <c r="H5" s="127">
        <f>VLOOKUP($B5&amp;"2",Data!$C:$G,2,FALSE)</f>
        <v>7</v>
      </c>
      <c r="I5" s="128">
        <f>VLOOKUP($B5&amp;"2",Data!$C:$G,4,FALSE)</f>
        <v>1.0115740740740741E-2</v>
      </c>
      <c r="J5" s="129">
        <f>VLOOKUP($B5&amp;"2",Data!$C:$G,5,FALSE)</f>
        <v>4.6399999999999997</v>
      </c>
      <c r="K5" s="130">
        <f t="shared" si="1"/>
        <v>2.1801165389527459E-3</v>
      </c>
      <c r="M5" s="127">
        <f>VLOOKUP($B5&amp;"3",Data!$C:$G,2,FALSE)</f>
        <v>12</v>
      </c>
      <c r="N5" s="128">
        <f>VLOOKUP($B5&amp;"3",Data!$C:$G,4,FALSE)</f>
        <v>1.0625000000000001E-2</v>
      </c>
      <c r="O5" s="129">
        <f>VLOOKUP($B5&amp;"3",Data!$C:$G,5,FALSE)</f>
        <v>4.5</v>
      </c>
      <c r="P5" s="130">
        <f t="shared" si="2"/>
        <v>2.3611111111111111E-3</v>
      </c>
      <c r="R5" s="127">
        <f>VLOOKUP($B5&amp;"4",Data!$C:$G,2,FALSE)</f>
        <v>15</v>
      </c>
      <c r="S5" s="128">
        <f>VLOOKUP($B5&amp;"4",Data!$C:$G,4,FALSE)</f>
        <v>9.8842592592592576E-3</v>
      </c>
      <c r="T5" s="129">
        <f>VLOOKUP($B5&amp;"4",Data!$C:$G,5,FALSE)</f>
        <v>4.49</v>
      </c>
      <c r="U5" s="130">
        <f t="shared" si="3"/>
        <v>2.2013940443784538E-3</v>
      </c>
      <c r="W5" s="133">
        <f t="shared" si="4"/>
        <v>17.02</v>
      </c>
      <c r="X5" s="152">
        <f t="shared" si="5"/>
        <v>3.8981481481481485E-2</v>
      </c>
      <c r="Y5" s="130">
        <f t="shared" si="6"/>
        <v>2.2903338120729426E-3</v>
      </c>
      <c r="AA5" s="2">
        <f>RANK(Y5,Y$3:Y$8,1)</f>
        <v>3</v>
      </c>
    </row>
    <row r="6" spans="1:27">
      <c r="A6" s="4"/>
      <c r="B6" s="126" t="str">
        <f>+'Team Selection'!D6</f>
        <v>Simon Bevege</v>
      </c>
      <c r="C6" s="127">
        <f>VLOOKUP($B6&amp;"1",Data!$C:$G,2,FALSE)</f>
        <v>1</v>
      </c>
      <c r="D6" s="128">
        <f>VLOOKUP($B6&amp;"1",Data!$C:$G,4,FALSE)</f>
        <v>8.1365740740740738E-3</v>
      </c>
      <c r="E6" s="129">
        <f>VLOOKUP($B6&amp;"1",Data!$C:$G,5,FALSE)</f>
        <v>3.39</v>
      </c>
      <c r="F6" s="130">
        <f t="shared" si="0"/>
        <v>2.4001693433846824E-3</v>
      </c>
      <c r="H6" s="127">
        <f>VLOOKUP($B6&amp;"2",Data!$C:$G,2,FALSE)</f>
        <v>5</v>
      </c>
      <c r="I6" s="128">
        <f>VLOOKUP($B6&amp;"2",Data!$C:$G,4,FALSE)</f>
        <v>1.0671296296296297E-2</v>
      </c>
      <c r="J6" s="129">
        <f>VLOOKUP($B6&amp;"2",Data!$C:$G,5,FALSE)</f>
        <v>4</v>
      </c>
      <c r="K6" s="130">
        <f t="shared" si="1"/>
        <v>2.6678240740740742E-3</v>
      </c>
      <c r="M6" s="127">
        <f>VLOOKUP($B6&amp;"3",Data!$C:$G,2,FALSE)</f>
        <v>13</v>
      </c>
      <c r="N6" s="128">
        <f>VLOOKUP($B6&amp;"3",Data!$C:$G,4,FALSE)</f>
        <v>1.1458333333333334E-2</v>
      </c>
      <c r="O6" s="129">
        <f>VLOOKUP($B6&amp;"3",Data!$C:$G,5,FALSE)</f>
        <v>4.5</v>
      </c>
      <c r="P6" s="130">
        <f t="shared" si="2"/>
        <v>2.5462962962962965E-3</v>
      </c>
      <c r="R6" s="127">
        <f>VLOOKUP($B6&amp;"4",Data!$C:$G,2,FALSE)</f>
        <v>15</v>
      </c>
      <c r="S6" s="128">
        <f>VLOOKUP($B6&amp;"4",Data!$C:$G,4,FALSE)</f>
        <v>1.045138888888889E-2</v>
      </c>
      <c r="T6" s="129">
        <f>VLOOKUP($B6&amp;"4",Data!$C:$G,5,FALSE)</f>
        <v>4.49</v>
      </c>
      <c r="U6" s="130">
        <f t="shared" si="3"/>
        <v>2.3277035387280379E-3</v>
      </c>
      <c r="W6" s="133">
        <f t="shared" si="4"/>
        <v>16.380000000000003</v>
      </c>
      <c r="X6" s="152">
        <f t="shared" si="5"/>
        <v>4.0717592592592597E-2</v>
      </c>
      <c r="Y6" s="130">
        <f t="shared" si="6"/>
        <v>2.4858115135892914E-3</v>
      </c>
      <c r="AA6" s="2">
        <f>RANK(Y6,Y$3:Y$8,1)</f>
        <v>6</v>
      </c>
    </row>
    <row r="7" spans="1:27">
      <c r="A7" s="4"/>
      <c r="B7" s="126" t="str">
        <f>+'Team Selection'!D7</f>
        <v>David Venour</v>
      </c>
      <c r="C7" s="127">
        <f>VLOOKUP($B7&amp;"1",Data!$C:$G,2,FALSE)</f>
        <v>1</v>
      </c>
      <c r="D7" s="128">
        <f>VLOOKUP($B7&amp;"1",Data!$C:$G,4,FALSE)</f>
        <v>8.4143518518518517E-3</v>
      </c>
      <c r="E7" s="129">
        <f>VLOOKUP($B7&amp;"1",Data!$C:$G,5,FALSE)</f>
        <v>3.39</v>
      </c>
      <c r="F7" s="130">
        <f t="shared" si="0"/>
        <v>2.4821096908117556E-3</v>
      </c>
      <c r="H7" s="127">
        <f>VLOOKUP($B7&amp;"2",Data!$C:$G,2,FALSE)</f>
        <v>5</v>
      </c>
      <c r="I7" s="128">
        <f>VLOOKUP($B7&amp;"2",Data!$C:$G,4,FALSE)</f>
        <v>1.0868055555555556E-2</v>
      </c>
      <c r="J7" s="129">
        <f>VLOOKUP($B7&amp;"2",Data!$C:$G,5,FALSE)</f>
        <v>4</v>
      </c>
      <c r="K7" s="130">
        <f t="shared" si="1"/>
        <v>2.717013888888889E-3</v>
      </c>
      <c r="M7" s="127">
        <f>VLOOKUP($B7&amp;"3",Data!$C:$G,2,FALSE)</f>
        <v>12</v>
      </c>
      <c r="N7" s="128">
        <f>VLOOKUP($B7&amp;"3",Data!$C:$G,4,FALSE)</f>
        <v>1.0949074074074075E-2</v>
      </c>
      <c r="O7" s="129">
        <f>VLOOKUP($B7&amp;"3",Data!$C:$G,5,FALSE)</f>
        <v>4.5</v>
      </c>
      <c r="P7" s="130">
        <f t="shared" si="2"/>
        <v>2.4331275720164609E-3</v>
      </c>
      <c r="R7" s="127">
        <f>VLOOKUP($B7&amp;"4",Data!$C:$G,2,FALSE)</f>
        <v>15</v>
      </c>
      <c r="S7" s="128">
        <f>VLOOKUP($B7&amp;"4",Data!$C:$G,4,FALSE)</f>
        <v>1.0231481481481482E-2</v>
      </c>
      <c r="T7" s="129">
        <f>VLOOKUP($B7&amp;"4",Data!$C:$G,5,FALSE)</f>
        <v>4.49</v>
      </c>
      <c r="U7" s="130">
        <f t="shared" si="3"/>
        <v>2.278726387857791E-3</v>
      </c>
      <c r="W7" s="133">
        <f t="shared" si="4"/>
        <v>16.380000000000003</v>
      </c>
      <c r="X7" s="152">
        <f t="shared" si="5"/>
        <v>4.0462962962962964E-2</v>
      </c>
      <c r="Y7" s="130">
        <f t="shared" si="6"/>
        <v>2.4702663591552477E-3</v>
      </c>
      <c r="AA7" s="2">
        <f>RANK(Y7,Y$3:Y$8,1)</f>
        <v>5</v>
      </c>
    </row>
    <row r="8" spans="1:27">
      <c r="A8" s="4"/>
      <c r="B8" s="118" t="str">
        <f>+'Team Selection'!D8</f>
        <v>Stephen Paine</v>
      </c>
      <c r="C8" s="161">
        <f>VLOOKUP($B8&amp;"1",Data!$C:$G,2,FALSE)</f>
        <v>3</v>
      </c>
      <c r="D8" s="162">
        <f>VLOOKUP($B8&amp;"1",Data!$C:$G,4,FALSE)</f>
        <v>8.6921296296296312E-3</v>
      </c>
      <c r="E8" s="163">
        <f>VLOOKUP($B8&amp;"1",Data!$C:$G,5,FALSE)</f>
        <v>3.39</v>
      </c>
      <c r="F8" s="164">
        <f t="shared" si="0"/>
        <v>2.5640500382388292E-3</v>
      </c>
      <c r="H8" s="161">
        <f>VLOOKUP($B8&amp;"2",Data!$C:$G,2,FALSE)</f>
        <v>7</v>
      </c>
      <c r="I8" s="162">
        <f>VLOOKUP($B8&amp;"2",Data!$C:$G,4,FALSE)</f>
        <v>1.0694444444444444E-2</v>
      </c>
      <c r="J8" s="163">
        <f>VLOOKUP($B8&amp;"2",Data!$C:$G,5,FALSE)</f>
        <v>4.6399999999999997</v>
      </c>
      <c r="K8" s="164">
        <f t="shared" si="1"/>
        <v>2.3048371647509578E-3</v>
      </c>
      <c r="M8" s="161">
        <f>VLOOKUP($B8&amp;"3",Data!$C:$G,2,FALSE)</f>
        <v>12</v>
      </c>
      <c r="N8" s="162">
        <f>VLOOKUP($B8&amp;"3",Data!$C:$G,4,FALSE)</f>
        <v>1.1157407407407408E-2</v>
      </c>
      <c r="O8" s="163">
        <f>VLOOKUP($B8&amp;"3",Data!$C:$G,5,FALSE)</f>
        <v>4.5</v>
      </c>
      <c r="P8" s="164">
        <f t="shared" si="2"/>
        <v>2.4794238683127573E-3</v>
      </c>
      <c r="R8" s="161">
        <f>VLOOKUP($B8&amp;"4",Data!$C:$G,2,FALSE)</f>
        <v>14</v>
      </c>
      <c r="S8" s="162">
        <f>VLOOKUP($B8&amp;"4",Data!$C:$G,4,FALSE)</f>
        <v>1.0555555555555554E-2</v>
      </c>
      <c r="T8" s="163">
        <f>VLOOKUP($B8&amp;"4",Data!$C:$G,5,FALSE)</f>
        <v>4.5</v>
      </c>
      <c r="U8" s="164">
        <f t="shared" si="3"/>
        <v>2.3456790123456786E-3</v>
      </c>
      <c r="W8" s="165">
        <f t="shared" si="4"/>
        <v>17.03</v>
      </c>
      <c r="X8" s="166">
        <f t="shared" si="5"/>
        <v>4.1099537037037039E-2</v>
      </c>
      <c r="Y8" s="164">
        <f t="shared" si="6"/>
        <v>2.4133609534372894E-3</v>
      </c>
      <c r="AA8" s="2">
        <f>RANK(Y8,Y$3:Y$8,1)</f>
        <v>4</v>
      </c>
    </row>
    <row r="9" spans="1:27" s="6" customFormat="1">
      <c r="A9" s="5"/>
      <c r="C9" s="5"/>
      <c r="D9" s="10"/>
      <c r="E9" s="11"/>
      <c r="F9" s="10"/>
      <c r="H9" s="5"/>
      <c r="I9" s="10"/>
      <c r="J9" s="11"/>
      <c r="K9" s="10"/>
      <c r="M9" s="5"/>
      <c r="N9" s="10"/>
      <c r="O9" s="11"/>
      <c r="P9" s="10"/>
      <c r="R9" s="5"/>
      <c r="S9" s="10"/>
      <c r="T9" s="11"/>
      <c r="U9" s="10"/>
      <c r="W9" s="11"/>
      <c r="X9" s="10"/>
      <c r="Y9" s="10"/>
    </row>
    <row r="10" spans="1:27" s="6" customFormat="1">
      <c r="A10" s="5"/>
      <c r="C10" s="5"/>
      <c r="D10" s="10"/>
      <c r="E10" s="11"/>
      <c r="F10" s="10"/>
      <c r="H10" s="5"/>
      <c r="I10" s="10"/>
      <c r="J10" s="11"/>
      <c r="K10" s="10"/>
      <c r="M10" s="5"/>
      <c r="N10" s="10"/>
      <c r="O10" s="11"/>
      <c r="P10" s="10"/>
      <c r="R10" s="5"/>
      <c r="S10" s="10"/>
      <c r="T10" s="11"/>
      <c r="U10" s="10"/>
      <c r="W10" s="24" t="s">
        <v>39</v>
      </c>
      <c r="X10" s="23" t="s">
        <v>39</v>
      </c>
      <c r="Y10" s="23" t="s">
        <v>40</v>
      </c>
    </row>
    <row r="11" spans="1:27">
      <c r="B11" s="158" t="s">
        <v>29</v>
      </c>
      <c r="C11" s="154" t="s">
        <v>11</v>
      </c>
      <c r="D11" s="15" t="s">
        <v>7</v>
      </c>
      <c r="E11" s="17" t="s">
        <v>32</v>
      </c>
      <c r="F11" s="15" t="s">
        <v>8</v>
      </c>
      <c r="H11" s="9" t="s">
        <v>11</v>
      </c>
      <c r="I11" s="15" t="s">
        <v>7</v>
      </c>
      <c r="J11" s="17" t="s">
        <v>32</v>
      </c>
      <c r="K11" s="15" t="s">
        <v>8</v>
      </c>
      <c r="M11" s="9" t="s">
        <v>11</v>
      </c>
      <c r="N11" s="15" t="s">
        <v>7</v>
      </c>
      <c r="O11" s="17" t="s">
        <v>32</v>
      </c>
      <c r="P11" s="15" t="s">
        <v>8</v>
      </c>
      <c r="R11" s="9" t="s">
        <v>11</v>
      </c>
      <c r="S11" s="15" t="s">
        <v>7</v>
      </c>
      <c r="T11" s="17" t="s">
        <v>32</v>
      </c>
      <c r="U11" s="15" t="s">
        <v>8</v>
      </c>
      <c r="W11" s="20" t="s">
        <v>38</v>
      </c>
      <c r="X11" s="132" t="s">
        <v>7</v>
      </c>
      <c r="Y11" s="19" t="s">
        <v>8</v>
      </c>
    </row>
    <row r="12" spans="1:27">
      <c r="A12" s="4"/>
      <c r="B12" s="156" t="str">
        <f>+'Team Selection'!F3</f>
        <v>David Mellings</v>
      </c>
      <c r="C12" s="127">
        <f>VLOOKUP($B12&amp;"1",Data!$C:$G,2,FALSE)</f>
        <v>2</v>
      </c>
      <c r="D12" s="128">
        <f>VLOOKUP($B12&amp;"1",Data!$C:$G,4,FALSE)</f>
        <v>9.479166666666667E-3</v>
      </c>
      <c r="E12" s="129">
        <f>VLOOKUP($B12&amp;"1",Data!$C:$G,5,FALSE)</f>
        <v>3.39</v>
      </c>
      <c r="F12" s="130">
        <f>+D12/E12</f>
        <v>2.7962143559488693E-3</v>
      </c>
      <c r="H12" s="127">
        <f>VLOOKUP($B12&amp;"2",Data!$C:$G,2,FALSE)</f>
        <v>6</v>
      </c>
      <c r="I12" s="128">
        <f>VLOOKUP($B12&amp;"2",Data!$C:$G,4,FALSE)</f>
        <v>1.0694444444444444E-2</v>
      </c>
      <c r="J12" s="129">
        <f>VLOOKUP($B12&amp;"2",Data!$C:$G,5,FALSE)</f>
        <v>4.2699999999999996</v>
      </c>
      <c r="K12" s="130">
        <f>+I12/J12</f>
        <v>2.5045537340619311E-3</v>
      </c>
      <c r="M12" s="127">
        <f>VLOOKUP($B12&amp;"3",Data!$C:$G,2,FALSE)</f>
        <v>9</v>
      </c>
      <c r="N12" s="128">
        <f>VLOOKUP($B12&amp;"3",Data!$C:$G,4,FALSE)</f>
        <v>1.0694444444444444E-2</v>
      </c>
      <c r="O12" s="129">
        <f>VLOOKUP($B12&amp;"3",Data!$C:$G,5,FALSE)</f>
        <v>3.66</v>
      </c>
      <c r="P12" s="130">
        <f>+N12/O12</f>
        <v>2.9219793564055855E-3</v>
      </c>
      <c r="R12" s="127">
        <f>VLOOKUP($B12&amp;"4",Data!$C:$G,2,FALSE)</f>
        <v>13</v>
      </c>
      <c r="S12" s="128">
        <f>VLOOKUP($B12&amp;"4",Data!$C:$G,4,FALSE)</f>
        <v>1.3252314814814814E-2</v>
      </c>
      <c r="T12" s="129">
        <f>VLOOKUP($B12&amp;"4",Data!$C:$G,5,FALSE)</f>
        <v>4.5</v>
      </c>
      <c r="U12" s="130">
        <f>+S12/T12</f>
        <v>2.9449588477366254E-3</v>
      </c>
      <c r="W12" s="133">
        <f>SUM(E12,J12,O12,T12)</f>
        <v>15.82</v>
      </c>
      <c r="X12" s="152">
        <f>SUM(D12,I12,N12,S12)</f>
        <v>4.4120370370370365E-2</v>
      </c>
      <c r="Y12" s="130">
        <f>SUM(D12,I12,N12,S12)/W12</f>
        <v>2.7888982535000232E-3</v>
      </c>
      <c r="AA12" s="2">
        <f>RANK(Y12,Y$12:Y$17,1)</f>
        <v>5</v>
      </c>
    </row>
    <row r="13" spans="1:27">
      <c r="A13" s="4"/>
      <c r="B13" s="118" t="str">
        <f>+'Team Selection'!F4</f>
        <v>Kate Seibold</v>
      </c>
      <c r="C13" s="127">
        <f>VLOOKUP($B13&amp;"1",Data!$C:$G,2,FALSE)</f>
        <v>3</v>
      </c>
      <c r="D13" s="128">
        <f>VLOOKUP($B13&amp;"1",Data!$C:$G,4,FALSE)</f>
        <v>9.3749999999999997E-3</v>
      </c>
      <c r="E13" s="129">
        <f>VLOOKUP($B13&amp;"1",Data!$C:$G,5,FALSE)</f>
        <v>3.39</v>
      </c>
      <c r="F13" s="130">
        <f t="shared" ref="F13:F17" si="7">+D13/E13</f>
        <v>2.7654867256637168E-3</v>
      </c>
      <c r="H13" s="127">
        <f>VLOOKUP($B13&amp;"2",Data!$C:$G,2,FALSE)</f>
        <v>6</v>
      </c>
      <c r="I13" s="128">
        <f>VLOOKUP($B13&amp;"2",Data!$C:$G,4,FALSE)</f>
        <v>1.1041666666666667E-2</v>
      </c>
      <c r="J13" s="129">
        <f>VLOOKUP($B13&amp;"2",Data!$C:$G,5,FALSE)</f>
        <v>4.2699999999999996</v>
      </c>
      <c r="K13" s="130">
        <f t="shared" ref="K13:K17" si="8">+I13/J13</f>
        <v>2.5858704137392665E-3</v>
      </c>
      <c r="M13" s="127">
        <f>VLOOKUP($B13&amp;"3",Data!$C:$G,2,FALSE)</f>
        <v>9</v>
      </c>
      <c r="N13" s="128">
        <f>VLOOKUP($B13&amp;"3",Data!$C:$G,4,FALSE)</f>
        <v>1.0115740740740741E-2</v>
      </c>
      <c r="O13" s="129">
        <f>VLOOKUP($B13&amp;"3",Data!$C:$G,5,FALSE)</f>
        <v>3.66</v>
      </c>
      <c r="P13" s="130">
        <f t="shared" ref="P13:P17" si="9">+N13/O13</f>
        <v>2.7638635903663228E-3</v>
      </c>
      <c r="R13" s="127">
        <f>VLOOKUP($B13&amp;"4",Data!$C:$G,2,FALSE)</f>
        <v>13</v>
      </c>
      <c r="S13" s="128">
        <f>VLOOKUP($B13&amp;"4",Data!$C:$G,4,FALSE)</f>
        <v>1.2939814814814814E-2</v>
      </c>
      <c r="T13" s="129">
        <f>VLOOKUP($B13&amp;"4",Data!$C:$G,5,FALSE)</f>
        <v>4.5</v>
      </c>
      <c r="U13" s="130">
        <f t="shared" ref="U13:U17" si="10">+S13/T13</f>
        <v>2.8755144032921809E-3</v>
      </c>
      <c r="W13" s="133">
        <f t="shared" ref="W13:W17" si="11">SUM(E13,J13,O13,T13)</f>
        <v>15.82</v>
      </c>
      <c r="X13" s="152">
        <f t="shared" ref="X13:X17" si="12">SUM(D13,I13,N13,S13)</f>
        <v>4.3472222222222218E-2</v>
      </c>
      <c r="Y13" s="130">
        <f t="shared" ref="Y13:Y17" si="13">SUM(D13,I13,N13,S13)/W13</f>
        <v>2.7479280797864866E-3</v>
      </c>
      <c r="AA13" s="2">
        <f>RANK(Y13,Y$12:Y$17,1)</f>
        <v>4</v>
      </c>
    </row>
    <row r="14" spans="1:27">
      <c r="A14" s="4"/>
      <c r="B14" s="118" t="str">
        <f>+'Team Selection'!F5</f>
        <v>Mark Stodden</v>
      </c>
      <c r="C14" s="127">
        <f>VLOOKUP($B14&amp;"1",Data!$C:$G,2,FALSE)</f>
        <v>1</v>
      </c>
      <c r="D14" s="128">
        <f>VLOOKUP($B14&amp;"1",Data!$C:$G,4,FALSE)</f>
        <v>8.8425925925925911E-3</v>
      </c>
      <c r="E14" s="129">
        <f>VLOOKUP($B14&amp;"1",Data!$C:$G,5,FALSE)</f>
        <v>3.39</v>
      </c>
      <c r="F14" s="130">
        <f t="shared" si="7"/>
        <v>2.6084343930951595E-3</v>
      </c>
      <c r="H14" s="127">
        <f>VLOOKUP($B14&amp;"2",Data!$C:$G,2,FALSE)</f>
        <v>5</v>
      </c>
      <c r="I14" s="128">
        <f>VLOOKUP($B14&amp;"2",Data!$C:$G,4,FALSE)</f>
        <v>1.1701388888888891E-2</v>
      </c>
      <c r="J14" s="129">
        <f>VLOOKUP($B14&amp;"2",Data!$C:$G,5,FALSE)</f>
        <v>4</v>
      </c>
      <c r="K14" s="130">
        <f t="shared" si="8"/>
        <v>2.9253472222222228E-3</v>
      </c>
      <c r="M14" s="127">
        <f>VLOOKUP($B14&amp;"3",Data!$C:$G,2,FALSE)</f>
        <v>9</v>
      </c>
      <c r="N14" s="128">
        <f>VLOOKUP($B14&amp;"3",Data!$C:$G,4,FALSE)</f>
        <v>1.0381944444444444E-2</v>
      </c>
      <c r="O14" s="129">
        <f>VLOOKUP($B14&amp;"3",Data!$C:$G,5,FALSE)</f>
        <v>3.66</v>
      </c>
      <c r="P14" s="130">
        <f t="shared" si="9"/>
        <v>2.8365968427443832E-3</v>
      </c>
      <c r="R14" s="127">
        <f>VLOOKUP($B14&amp;"4",Data!$C:$G,2,FALSE)</f>
        <v>13</v>
      </c>
      <c r="S14" s="128">
        <f>VLOOKUP($B14&amp;"4",Data!$C:$G,4,FALSE)</f>
        <v>1.2685185185185183E-2</v>
      </c>
      <c r="T14" s="129">
        <f>VLOOKUP($B14&amp;"4",Data!$C:$G,5,FALSE)</f>
        <v>4.5</v>
      </c>
      <c r="U14" s="130">
        <f t="shared" si="10"/>
        <v>2.8189300411522629E-3</v>
      </c>
      <c r="W14" s="133">
        <f t="shared" si="11"/>
        <v>15.55</v>
      </c>
      <c r="X14" s="152">
        <f t="shared" si="12"/>
        <v>4.3611111111111107E-2</v>
      </c>
      <c r="Y14" s="130">
        <f t="shared" si="13"/>
        <v>2.8045730618077879E-3</v>
      </c>
      <c r="AA14" s="2">
        <f>RANK(Y14,Y$12:Y$17,1)</f>
        <v>6</v>
      </c>
    </row>
    <row r="15" spans="1:27">
      <c r="A15" s="4"/>
      <c r="B15" s="118" t="str">
        <f>+'Team Selection'!F6</f>
        <v>Anthony Mithen</v>
      </c>
      <c r="C15" s="127">
        <f>VLOOKUP($B15&amp;"1",Data!$C:$G,2,FALSE)</f>
        <v>3</v>
      </c>
      <c r="D15" s="128">
        <f>VLOOKUP($B15&amp;"1",Data!$C:$G,4,FALSE)</f>
        <v>9.6759259259259264E-3</v>
      </c>
      <c r="E15" s="129">
        <f>VLOOKUP($B15&amp;"1",Data!$C:$G,5,FALSE)</f>
        <v>3.39</v>
      </c>
      <c r="F15" s="130">
        <f t="shared" si="7"/>
        <v>2.8542554353763795E-3</v>
      </c>
      <c r="H15" s="127">
        <f>VLOOKUP($B15&amp;"2",Data!$C:$G,2,FALSE)</f>
        <v>7</v>
      </c>
      <c r="I15" s="128">
        <f>VLOOKUP($B15&amp;"2",Data!$C:$G,4,FALSE)</f>
        <v>1.1412037037037038E-2</v>
      </c>
      <c r="J15" s="129">
        <f>VLOOKUP($B15&amp;"2",Data!$C:$G,5,FALSE)</f>
        <v>4.6399999999999997</v>
      </c>
      <c r="K15" s="130">
        <f t="shared" si="8"/>
        <v>2.4594907407407413E-3</v>
      </c>
      <c r="M15" s="127">
        <f>VLOOKUP($B15&amp;"3",Data!$C:$G,2,FALSE)</f>
        <v>12</v>
      </c>
      <c r="N15" s="128">
        <f>VLOOKUP($B15&amp;"3",Data!$C:$G,4,FALSE)</f>
        <v>1.3148148148148147E-2</v>
      </c>
      <c r="O15" s="129">
        <f>VLOOKUP($B15&amp;"3",Data!$C:$G,5,FALSE)</f>
        <v>4.5</v>
      </c>
      <c r="P15" s="130">
        <f t="shared" si="9"/>
        <v>2.9218106995884769E-3</v>
      </c>
      <c r="R15" s="127">
        <f>VLOOKUP($B15&amp;"4",Data!$C:$G,2,FALSE)</f>
        <v>14</v>
      </c>
      <c r="S15" s="128">
        <f>VLOOKUP($B15&amp;"4",Data!$C:$G,4,FALSE)</f>
        <v>1.1562499999999998E-2</v>
      </c>
      <c r="T15" s="129">
        <f>VLOOKUP($B15&amp;"4",Data!$C:$G,5,FALSE)</f>
        <v>4.5</v>
      </c>
      <c r="U15" s="130">
        <f t="shared" si="10"/>
        <v>2.5694444444444441E-3</v>
      </c>
      <c r="W15" s="133">
        <f t="shared" si="11"/>
        <v>17.03</v>
      </c>
      <c r="X15" s="152">
        <f t="shared" si="12"/>
        <v>4.5798611111111109E-2</v>
      </c>
      <c r="Y15" s="130">
        <f t="shared" si="13"/>
        <v>2.6892901415802176E-3</v>
      </c>
      <c r="AA15" s="2">
        <f>RANK(Y15,Y$12:Y$17,1)</f>
        <v>3</v>
      </c>
    </row>
    <row r="16" spans="1:27">
      <c r="A16" s="4"/>
      <c r="B16" s="118" t="str">
        <f>+'Team Selection'!F7</f>
        <v>Glenn Carroll</v>
      </c>
      <c r="C16" s="127">
        <f>VLOOKUP($B16&amp;"1",Data!$C:$G,2,FALSE)</f>
        <v>3</v>
      </c>
      <c r="D16" s="128">
        <f>VLOOKUP($B16&amp;"1",Data!$C:$G,4,FALSE)</f>
        <v>8.8541666666666664E-3</v>
      </c>
      <c r="E16" s="129">
        <f>VLOOKUP($B16&amp;"1",Data!$C:$G,5,FALSE)</f>
        <v>3.39</v>
      </c>
      <c r="F16" s="130">
        <f t="shared" si="7"/>
        <v>2.6118485742379544E-3</v>
      </c>
      <c r="H16" s="127">
        <f>VLOOKUP($B16&amp;"2",Data!$C:$G,2,FALSE)</f>
        <v>7</v>
      </c>
      <c r="I16" s="128">
        <f>VLOOKUP($B16&amp;"2",Data!$C:$G,4,FALSE)</f>
        <v>1.0949074074074075E-2</v>
      </c>
      <c r="J16" s="129">
        <f>VLOOKUP($B16&amp;"2",Data!$C:$G,5,FALSE)</f>
        <v>4.6399999999999997</v>
      </c>
      <c r="K16" s="130">
        <f t="shared" si="8"/>
        <v>2.3597142401021714E-3</v>
      </c>
      <c r="M16" s="127">
        <f>VLOOKUP($B16&amp;"3",Data!$C:$G,2,FALSE)</f>
        <v>9</v>
      </c>
      <c r="N16" s="152">
        <f>VLOOKUP($B16&amp;"3",Data!$C:$G,4,FALSE)</f>
        <v>1.0277777777777778E-2</v>
      </c>
      <c r="O16" s="129">
        <f>VLOOKUP($B16&amp;"3",Data!$C:$G,5,FALSE)</f>
        <v>3.66</v>
      </c>
      <c r="P16" s="130">
        <f t="shared" si="9"/>
        <v>2.8081360048573165E-3</v>
      </c>
      <c r="R16" s="127">
        <f>VLOOKUP($B16&amp;"4",Data!$C:$G,2,FALSE)</f>
        <v>13</v>
      </c>
      <c r="S16" s="128">
        <f>VLOOKUP($B16&amp;"4",Data!$C:$G,4,FALSE)</f>
        <v>1.2893518518518519E-2</v>
      </c>
      <c r="T16" s="129">
        <f>VLOOKUP($B16&amp;"4",Data!$C:$G,5,FALSE)</f>
        <v>4.5</v>
      </c>
      <c r="U16" s="130">
        <f t="shared" si="10"/>
        <v>2.8652263374485598E-3</v>
      </c>
      <c r="W16" s="133">
        <f t="shared" si="11"/>
        <v>16.189999999999998</v>
      </c>
      <c r="X16" s="152">
        <f t="shared" si="12"/>
        <v>4.2974537037037033E-2</v>
      </c>
      <c r="Y16" s="130">
        <f t="shared" si="13"/>
        <v>2.6543877107496629E-3</v>
      </c>
      <c r="AA16" s="2">
        <f>RANK(Y16,Y$12:Y$17,1)</f>
        <v>1</v>
      </c>
    </row>
    <row r="17" spans="1:27">
      <c r="A17" s="4"/>
      <c r="B17" s="118" t="str">
        <f>+'Team Selection'!F8</f>
        <v>Richard Does</v>
      </c>
      <c r="C17" s="161">
        <f>VLOOKUP($B17&amp;"1",Data!$C:$G,2,FALSE)</f>
        <v>1</v>
      </c>
      <c r="D17" s="162">
        <f>VLOOKUP($B17&amp;"1",Data!$C:$G,4,FALSE)</f>
        <v>8.6921296296296312E-3</v>
      </c>
      <c r="E17" s="163">
        <f>VLOOKUP($B17&amp;"1",Data!$C:$G,5,FALSE)</f>
        <v>3.39</v>
      </c>
      <c r="F17" s="164">
        <f t="shared" si="7"/>
        <v>2.5640500382388292E-3</v>
      </c>
      <c r="H17" s="161">
        <f>VLOOKUP($B17&amp;"2",Data!$C:$G,2,FALSE)</f>
        <v>5</v>
      </c>
      <c r="I17" s="162">
        <f>VLOOKUP($B17&amp;"2",Data!$C:$G,4,FALSE)</f>
        <v>1.119212962962963E-2</v>
      </c>
      <c r="J17" s="163">
        <f>VLOOKUP($B17&amp;"2",Data!$C:$G,5,FALSE)</f>
        <v>4</v>
      </c>
      <c r="K17" s="164">
        <f t="shared" si="8"/>
        <v>2.7980324074074075E-3</v>
      </c>
      <c r="M17" s="161">
        <f>VLOOKUP($B17&amp;"3",Data!$C:$G,2,FALSE)</f>
        <v>9</v>
      </c>
      <c r="N17" s="162">
        <f>VLOOKUP($B17&amp;"3",Data!$C:$G,4,FALSE)</f>
        <v>9.8032407407407408E-3</v>
      </c>
      <c r="O17" s="163">
        <f>VLOOKUP($B17&amp;"3",Data!$C:$G,5,FALSE)</f>
        <v>3.66</v>
      </c>
      <c r="P17" s="164">
        <f t="shared" si="9"/>
        <v>2.6784810767051205E-3</v>
      </c>
      <c r="R17" s="161">
        <f>VLOOKUP($B17&amp;"4",Data!$C:$G,2,FALSE)</f>
        <v>13</v>
      </c>
      <c r="S17" s="162">
        <f>VLOOKUP($B17&amp;"4",Data!$C:$G,4,FALSE)</f>
        <v>1.1770833333333333E-2</v>
      </c>
      <c r="T17" s="163">
        <f>VLOOKUP($B17&amp;"4",Data!$C:$G,5,FALSE)</f>
        <v>4.5</v>
      </c>
      <c r="U17" s="164">
        <f t="shared" si="10"/>
        <v>2.6157407407407405E-3</v>
      </c>
      <c r="W17" s="165">
        <f t="shared" si="11"/>
        <v>15.55</v>
      </c>
      <c r="X17" s="166">
        <f t="shared" si="12"/>
        <v>4.1458333333333333E-2</v>
      </c>
      <c r="Y17" s="164">
        <f t="shared" si="13"/>
        <v>2.6661307609860663E-3</v>
      </c>
      <c r="AA17" s="2">
        <f>RANK(Y17,Y$12:Y$17,1)</f>
        <v>2</v>
      </c>
    </row>
    <row r="18" spans="1:27">
      <c r="A18" s="5"/>
      <c r="B18" s="6"/>
      <c r="C18" s="5"/>
      <c r="D18" s="10"/>
      <c r="E18" s="11"/>
      <c r="F18" s="10"/>
      <c r="G18" s="6"/>
      <c r="H18" s="5"/>
      <c r="I18" s="10"/>
      <c r="J18" s="11"/>
      <c r="K18" s="10"/>
      <c r="L18" s="6"/>
      <c r="M18" s="5"/>
      <c r="N18" s="10"/>
      <c r="O18" s="11"/>
      <c r="P18" s="10"/>
      <c r="Q18" s="6"/>
      <c r="R18" s="5"/>
      <c r="S18" s="10"/>
      <c r="T18" s="11"/>
      <c r="U18" s="10"/>
      <c r="X18" s="10"/>
      <c r="Y18" s="10"/>
    </row>
    <row r="19" spans="1:27">
      <c r="A19" s="5"/>
      <c r="B19" s="6"/>
      <c r="C19" s="5"/>
      <c r="D19" s="10"/>
      <c r="E19" s="11"/>
      <c r="F19" s="10"/>
      <c r="G19" s="6"/>
      <c r="H19" s="5"/>
      <c r="I19" s="10"/>
      <c r="J19" s="11"/>
      <c r="K19" s="10"/>
      <c r="L19" s="6"/>
      <c r="M19" s="5"/>
      <c r="N19" s="10"/>
      <c r="O19" s="11"/>
      <c r="P19" s="10"/>
      <c r="Q19" s="6"/>
      <c r="R19" s="5"/>
      <c r="S19" s="10"/>
      <c r="T19" s="11"/>
      <c r="U19" s="10"/>
      <c r="W19" s="24" t="s">
        <v>39</v>
      </c>
      <c r="X19" s="23" t="s">
        <v>39</v>
      </c>
      <c r="Y19" s="23" t="s">
        <v>40</v>
      </c>
    </row>
    <row r="20" spans="1:27">
      <c r="B20" s="158" t="s">
        <v>30</v>
      </c>
      <c r="C20" s="154" t="s">
        <v>11</v>
      </c>
      <c r="D20" s="15" t="s">
        <v>7</v>
      </c>
      <c r="E20" s="17" t="s">
        <v>32</v>
      </c>
      <c r="F20" s="15" t="s">
        <v>8</v>
      </c>
      <c r="H20" s="9" t="s">
        <v>11</v>
      </c>
      <c r="I20" s="15" t="s">
        <v>7</v>
      </c>
      <c r="J20" s="17" t="s">
        <v>32</v>
      </c>
      <c r="K20" s="15" t="s">
        <v>8</v>
      </c>
      <c r="M20" s="9" t="s">
        <v>11</v>
      </c>
      <c r="N20" s="15" t="s">
        <v>7</v>
      </c>
      <c r="O20" s="17" t="s">
        <v>32</v>
      </c>
      <c r="P20" s="15" t="s">
        <v>8</v>
      </c>
      <c r="R20" s="9" t="s">
        <v>11</v>
      </c>
      <c r="S20" s="15" t="s">
        <v>7</v>
      </c>
      <c r="T20" s="17" t="s">
        <v>32</v>
      </c>
      <c r="U20" s="15" t="s">
        <v>8</v>
      </c>
      <c r="W20" s="20" t="s">
        <v>38</v>
      </c>
      <c r="X20" s="132" t="s">
        <v>7</v>
      </c>
      <c r="Y20" s="19" t="s">
        <v>8</v>
      </c>
    </row>
    <row r="21" spans="1:27">
      <c r="A21" s="4"/>
      <c r="B21" s="156" t="str">
        <f>+'Team Selection'!H3</f>
        <v>Glenn Goodman</v>
      </c>
      <c r="C21" s="127">
        <f>VLOOKUP($B21&amp;"1",Data!$C:$G,2,FALSE)</f>
        <v>1</v>
      </c>
      <c r="D21" s="128">
        <f>VLOOKUP($B21&amp;"1",Data!$C:$G,4,FALSE)</f>
        <v>9.4212962962962957E-3</v>
      </c>
      <c r="E21" s="129">
        <f>VLOOKUP($B21&amp;"1",Data!$C:$G,5,FALSE)</f>
        <v>3.39</v>
      </c>
      <c r="F21" s="130">
        <f>+D21/E21</f>
        <v>2.7791434502348954E-3</v>
      </c>
      <c r="H21" s="127">
        <f>VLOOKUP($B21&amp;"2",Data!$C:$G,2,FALSE)</f>
        <v>5</v>
      </c>
      <c r="I21" s="128">
        <f>VLOOKUP($B21&amp;"2",Data!$C:$G,4,FALSE)</f>
        <v>1.2569444444444446E-2</v>
      </c>
      <c r="J21" s="129">
        <f>VLOOKUP($B21&amp;"2",Data!$C:$G,5,FALSE)</f>
        <v>4</v>
      </c>
      <c r="K21" s="130">
        <f>+I21/J21</f>
        <v>3.1423611111111114E-3</v>
      </c>
      <c r="M21" s="127">
        <f>VLOOKUP($B21&amp;"3",Data!$C:$G,2,FALSE)</f>
        <v>11</v>
      </c>
      <c r="N21" s="128">
        <f>VLOOKUP($B21&amp;"3",Data!$C:$G,4,FALSE)</f>
        <v>1.0405092592592593E-2</v>
      </c>
      <c r="O21" s="129">
        <f>VLOOKUP($B21&amp;"3",Data!$C:$G,5,FALSE)</f>
        <v>3.47</v>
      </c>
      <c r="P21" s="130">
        <f>+N21/O21</f>
        <v>2.9985857615540609E-3</v>
      </c>
      <c r="R21" s="127">
        <f>VLOOKUP($B21&amp;"4",Data!$C:$G,2,FALSE)</f>
        <v>14</v>
      </c>
      <c r="S21" s="128">
        <f>VLOOKUP($B21&amp;"4",Data!$C:$G,4,FALSE)</f>
        <v>1.1342592592592592E-2</v>
      </c>
      <c r="T21" s="129">
        <f>VLOOKUP($B21&amp;"4",Data!$C:$G,5,FALSE)</f>
        <v>4.5</v>
      </c>
      <c r="U21" s="130">
        <f>+S21/T21</f>
        <v>2.5205761316872428E-3</v>
      </c>
      <c r="W21" s="133">
        <f>SUM(E21,J21,O21,T21)</f>
        <v>15.360000000000001</v>
      </c>
      <c r="X21" s="151">
        <f>SUM(D21,I21,N21,S21)</f>
        <v>4.3738425925925924E-2</v>
      </c>
      <c r="Y21" s="130">
        <f>SUM(D21,I21,N21,S21)/W21</f>
        <v>2.8475537712191355E-3</v>
      </c>
      <c r="AA21" s="2">
        <f>RANK(Y21,Y$21:Y$26,1)</f>
        <v>3</v>
      </c>
    </row>
    <row r="22" spans="1:27">
      <c r="A22" s="4"/>
      <c r="B22" s="118" t="str">
        <f>+'Team Selection'!H4</f>
        <v>Tony Hally</v>
      </c>
      <c r="C22" s="127">
        <f>VLOOKUP($B22&amp;"1",Data!$C:$G,2,FALSE)</f>
        <v>2</v>
      </c>
      <c r="D22" s="128">
        <f>VLOOKUP($B22&amp;"1",Data!$C:$G,4,FALSE)</f>
        <v>9.5949074074074079E-3</v>
      </c>
      <c r="E22" s="129">
        <f>VLOOKUP($B22&amp;"1",Data!$C:$G,5,FALSE)</f>
        <v>3.39</v>
      </c>
      <c r="F22" s="130">
        <f t="shared" ref="F22:F26" si="14">+D22/E22</f>
        <v>2.8303561673768164E-3</v>
      </c>
      <c r="H22" s="127">
        <f>VLOOKUP($B22&amp;"2",Data!$C:$G,2,FALSE)</f>
        <v>5</v>
      </c>
      <c r="I22" s="128">
        <f>VLOOKUP($B22&amp;"2",Data!$C:$G,4,FALSE)</f>
        <v>1.2638888888888889E-2</v>
      </c>
      <c r="J22" s="129">
        <f>VLOOKUP($B22&amp;"2",Data!$C:$G,5,FALSE)</f>
        <v>4</v>
      </c>
      <c r="K22" s="130">
        <f t="shared" ref="K22:K26" si="15">+I22/J22</f>
        <v>3.1597222222222222E-3</v>
      </c>
      <c r="M22" s="127">
        <f>VLOOKUP($B22&amp;"3",Data!$C:$G,2,FALSE)</f>
        <v>11</v>
      </c>
      <c r="N22" s="128">
        <f>VLOOKUP($B22&amp;"3",Data!$C:$G,4,FALSE)</f>
        <v>1.0081018518518519E-2</v>
      </c>
      <c r="O22" s="129">
        <f>VLOOKUP($B22&amp;"3",Data!$C:$G,5,FALSE)</f>
        <v>3.47</v>
      </c>
      <c r="P22" s="130">
        <f t="shared" ref="P22:P26" si="16">+N22/O22</f>
        <v>2.9051926566335787E-3</v>
      </c>
      <c r="R22" s="127">
        <f>VLOOKUP($B22&amp;"4",Data!$C:$G,2,FALSE)</f>
        <v>14</v>
      </c>
      <c r="S22" s="128">
        <f>VLOOKUP($B22&amp;"4",Data!$C:$G,4,FALSE)</f>
        <v>1.1423611111111112E-2</v>
      </c>
      <c r="T22" s="129">
        <f>VLOOKUP($B22&amp;"4",Data!$C:$G,5,FALSE)</f>
        <v>4.5</v>
      </c>
      <c r="U22" s="130">
        <f t="shared" ref="U22:U26" si="17">+S22/T22</f>
        <v>2.5385802469135802E-3</v>
      </c>
      <c r="W22" s="133">
        <f t="shared" ref="W22:W26" si="18">SUM(E22,J22,O22,T22)</f>
        <v>15.360000000000001</v>
      </c>
      <c r="X22" s="152">
        <f t="shared" ref="X22:X26" si="19">SUM(D22,I22,N22,S22)</f>
        <v>4.3738425925925931E-2</v>
      </c>
      <c r="Y22" s="130">
        <f t="shared" ref="Y22:Y26" si="20">SUM(D22,I22,N22,S22)/W22</f>
        <v>2.8475537712191359E-3</v>
      </c>
      <c r="AA22" s="2">
        <f>RANK(Y22,Y$21:Y$26,1)</f>
        <v>4</v>
      </c>
    </row>
    <row r="23" spans="1:27">
      <c r="A23" s="4"/>
      <c r="B23" s="118" t="str">
        <f>+'Team Selection'!H5</f>
        <v>Ewen Vowels</v>
      </c>
      <c r="C23" s="127">
        <f>VLOOKUP($B23&amp;"1",Data!$C:$G,2,FALSE)</f>
        <v>2</v>
      </c>
      <c r="D23" s="128">
        <f>VLOOKUP($B23&amp;"1",Data!$C:$G,4,FALSE)</f>
        <v>9.5370370370370366E-3</v>
      </c>
      <c r="E23" s="129">
        <f>VLOOKUP($B23&amp;"1",Data!$C:$G,5,FALSE)</f>
        <v>3.39</v>
      </c>
      <c r="F23" s="130">
        <f t="shared" si="14"/>
        <v>2.8132852616628424E-3</v>
      </c>
      <c r="H23" s="127">
        <f>VLOOKUP($B23&amp;"2",Data!$C:$G,2,FALSE)</f>
        <v>6</v>
      </c>
      <c r="I23" s="128">
        <f>VLOOKUP($B23&amp;"2",Data!$C:$G,4,FALSE)</f>
        <v>1.0497685185185186E-2</v>
      </c>
      <c r="J23" s="129">
        <f>VLOOKUP($B23&amp;"2",Data!$C:$G,5,FALSE)</f>
        <v>4.2699999999999996</v>
      </c>
      <c r="K23" s="130">
        <f t="shared" si="15"/>
        <v>2.4584742822447744E-3</v>
      </c>
      <c r="M23" s="127">
        <f>VLOOKUP($B23&amp;"3",Data!$C:$G,2,FALSE)</f>
        <v>11</v>
      </c>
      <c r="N23" s="128">
        <f>VLOOKUP($B23&amp;"3",Data!$C:$G,4,FALSE)</f>
        <v>1.0011574074074074E-2</v>
      </c>
      <c r="O23" s="129">
        <f>VLOOKUP($B23&amp;"3",Data!$C:$G,5,FALSE)</f>
        <v>3.47</v>
      </c>
      <c r="P23" s="130">
        <f t="shared" si="16"/>
        <v>2.8851798484363323E-3</v>
      </c>
      <c r="R23" s="127">
        <f>VLOOKUP($B23&amp;"4",Data!$C:$G,2,FALSE)</f>
        <v>14</v>
      </c>
      <c r="S23" s="128">
        <f>VLOOKUP($B23&amp;"4",Data!$C:$G,4,FALSE)</f>
        <v>1.1296296296296296E-2</v>
      </c>
      <c r="T23" s="129">
        <f>VLOOKUP($B23&amp;"4",Data!$C:$G,5,FALSE)</f>
        <v>4.5</v>
      </c>
      <c r="U23" s="130">
        <f t="shared" si="17"/>
        <v>2.5102880658436212E-3</v>
      </c>
      <c r="W23" s="133">
        <f t="shared" si="18"/>
        <v>15.63</v>
      </c>
      <c r="X23" s="152">
        <f t="shared" si="19"/>
        <v>4.1342592592592597E-2</v>
      </c>
      <c r="Y23" s="130">
        <f t="shared" si="20"/>
        <v>2.6450795004857707E-3</v>
      </c>
      <c r="AA23" s="2">
        <f>RANK(Y23,Y$21:Y$26,1)</f>
        <v>1</v>
      </c>
    </row>
    <row r="24" spans="1:27">
      <c r="A24" s="4"/>
      <c r="B24" s="118" t="str">
        <f>+'Team Selection'!H6</f>
        <v>Dale Nardella</v>
      </c>
      <c r="C24" s="127">
        <f>VLOOKUP($B24&amp;"1",Data!$C:$G,2,FALSE)</f>
        <v>2</v>
      </c>
      <c r="D24" s="128">
        <f>VLOOKUP($B24&amp;"1",Data!$C:$G,4,FALSE)</f>
        <v>9.5601851851851855E-3</v>
      </c>
      <c r="E24" s="129">
        <f>VLOOKUP($B24&amp;"1",Data!$C:$G,5,FALSE)</f>
        <v>3.39</v>
      </c>
      <c r="F24" s="130">
        <f t="shared" si="14"/>
        <v>2.8201136239484324E-3</v>
      </c>
      <c r="H24" s="127">
        <f>VLOOKUP($B24&amp;"2",Data!$C:$G,2,FALSE)</f>
        <v>6</v>
      </c>
      <c r="I24" s="128">
        <f>VLOOKUP($B24&amp;"2",Data!$C:$G,4,FALSE)</f>
        <v>1.1076388888888887E-2</v>
      </c>
      <c r="J24" s="129">
        <f>VLOOKUP($B24&amp;"2",Data!$C:$G,5,FALSE)</f>
        <v>4.2699999999999996</v>
      </c>
      <c r="K24" s="130">
        <f t="shared" si="15"/>
        <v>2.5940020817069994E-3</v>
      </c>
      <c r="M24" s="127">
        <f>VLOOKUP($B24&amp;"3",Data!$C:$G,2,FALSE)</f>
        <v>9</v>
      </c>
      <c r="N24" s="128">
        <f>VLOOKUP($B24&amp;"3",Data!$C:$G,4,FALSE)</f>
        <v>1.1261574074074071E-2</v>
      </c>
      <c r="O24" s="129">
        <f>VLOOKUP($B24&amp;"3",Data!$C:$G,5,FALSE)</f>
        <v>3.66</v>
      </c>
      <c r="P24" s="130">
        <f t="shared" si="16"/>
        <v>3.076932807124063E-3</v>
      </c>
      <c r="R24" s="127">
        <f>VLOOKUP($B24&amp;"4",Data!$C:$G,2,FALSE)</f>
        <v>11</v>
      </c>
      <c r="S24" s="128">
        <f>VLOOKUP($B24&amp;"4",Data!$C:$G,4,FALSE)</f>
        <v>1.0439814814814813E-2</v>
      </c>
      <c r="T24" s="129">
        <f>VLOOKUP($B24&amp;"4",Data!$C:$G,5,FALSE)</f>
        <v>3.47</v>
      </c>
      <c r="U24" s="130">
        <f t="shared" si="17"/>
        <v>3.0085921656526839E-3</v>
      </c>
      <c r="W24" s="133">
        <f t="shared" si="18"/>
        <v>14.790000000000001</v>
      </c>
      <c r="X24" s="152">
        <f t="shared" si="19"/>
        <v>4.2337962962962952E-2</v>
      </c>
      <c r="Y24" s="130">
        <f t="shared" si="20"/>
        <v>2.8626073673402941E-3</v>
      </c>
      <c r="AA24" s="2">
        <f>RANK(Y24,Y$21:Y$26,1)</f>
        <v>5</v>
      </c>
    </row>
    <row r="25" spans="1:27">
      <c r="A25" s="4"/>
      <c r="B25" s="118" t="str">
        <f>+'Team Selection'!H7</f>
        <v>Chris Osborne</v>
      </c>
      <c r="C25" s="127">
        <f>VLOOKUP($B25&amp;"1",Data!$C:$G,2,FALSE)</f>
        <v>2</v>
      </c>
      <c r="D25" s="128">
        <f>VLOOKUP($B25&amp;"1",Data!$C:$G,4,FALSE)</f>
        <v>9.7685185185185184E-3</v>
      </c>
      <c r="E25" s="129">
        <f>VLOOKUP($B25&amp;"1",Data!$C:$G,5,FALSE)</f>
        <v>3.39</v>
      </c>
      <c r="F25" s="130">
        <f t="shared" si="14"/>
        <v>2.8815688845187371E-3</v>
      </c>
      <c r="H25" s="127">
        <f>VLOOKUP($B25&amp;"2",Data!$C:$G,2,FALSE)</f>
        <v>6</v>
      </c>
      <c r="I25" s="128">
        <f>VLOOKUP($B25&amp;"2",Data!$C:$G,4,FALSE)</f>
        <v>1.1226851851851854E-2</v>
      </c>
      <c r="J25" s="129">
        <f>VLOOKUP($B25&amp;"2",Data!$C:$G,5,FALSE)</f>
        <v>4.2699999999999996</v>
      </c>
      <c r="K25" s="130">
        <f t="shared" si="15"/>
        <v>2.6292393095671794E-3</v>
      </c>
      <c r="M25" s="127">
        <f>VLOOKUP($B25&amp;"3",Data!$C:$G,2,FALSE)</f>
        <v>11</v>
      </c>
      <c r="N25" s="128">
        <f>VLOOKUP($B25&amp;"3",Data!$C:$G,4,FALSE)</f>
        <v>1.0300925925925927E-2</v>
      </c>
      <c r="O25" s="129">
        <f>VLOOKUP($B25&amp;"3",Data!$C:$G,5,FALSE)</f>
        <v>3.47</v>
      </c>
      <c r="P25" s="130">
        <f t="shared" si="16"/>
        <v>2.9685665492581921E-3</v>
      </c>
      <c r="R25" s="127">
        <f>VLOOKUP($B25&amp;"4",Data!$C:$G,2,FALSE)</f>
        <v>14</v>
      </c>
      <c r="S25" s="128">
        <f>VLOOKUP($B25&amp;"4",Data!$C:$G,4,FALSE)</f>
        <v>1.1689814814814814E-2</v>
      </c>
      <c r="T25" s="129">
        <f>VLOOKUP($B25&amp;"4",Data!$C:$G,5,FALSE)</f>
        <v>4.5</v>
      </c>
      <c r="U25" s="130">
        <f t="shared" si="17"/>
        <v>2.5977366255144031E-3</v>
      </c>
      <c r="W25" s="133">
        <f t="shared" si="18"/>
        <v>15.63</v>
      </c>
      <c r="X25" s="152">
        <f t="shared" si="19"/>
        <v>4.2986111111111114E-2</v>
      </c>
      <c r="Y25" s="130">
        <f t="shared" si="20"/>
        <v>2.7502310371792138E-3</v>
      </c>
      <c r="AA25" s="2">
        <f>RANK(Y25,Y$21:Y$26,1)</f>
        <v>2</v>
      </c>
    </row>
    <row r="26" spans="1:27">
      <c r="A26" s="4"/>
      <c r="B26" s="118" t="str">
        <f>+'Team Selection'!H8</f>
        <v>Robyn Millard</v>
      </c>
      <c r="C26" s="161">
        <f>VLOOKUP($B26&amp;"1",Data!$C:$G,2,FALSE)</f>
        <v>2</v>
      </c>
      <c r="D26" s="162">
        <f>VLOOKUP($B26&amp;"1",Data!$C:$G,4,FALSE)</f>
        <v>1.0266203703703703E-2</v>
      </c>
      <c r="E26" s="163">
        <f>VLOOKUP($B26&amp;"1",Data!$C:$G,5,FALSE)</f>
        <v>3.39</v>
      </c>
      <c r="F26" s="164">
        <f t="shared" si="14"/>
        <v>3.0283786736589094E-3</v>
      </c>
      <c r="H26" s="161">
        <f>VLOOKUP($B26&amp;"2",Data!$C:$G,2,FALSE)</f>
        <v>6</v>
      </c>
      <c r="I26" s="162">
        <f>VLOOKUP($B26&amp;"2",Data!$C:$G,4,FALSE)</f>
        <v>1.1400462962962965E-2</v>
      </c>
      <c r="J26" s="163">
        <f>VLOOKUP($B26&amp;"2",Data!$C:$G,5,FALSE)</f>
        <v>4.2699999999999996</v>
      </c>
      <c r="K26" s="164">
        <f t="shared" si="15"/>
        <v>2.6698976494058469E-3</v>
      </c>
      <c r="M26" s="161">
        <f>VLOOKUP($B26&amp;"3",Data!$C:$G,2,FALSE)</f>
        <v>11</v>
      </c>
      <c r="N26" s="162">
        <f>VLOOKUP($B26&amp;"3",Data!$C:$G,4,FALSE)</f>
        <v>1.0902777777777777E-2</v>
      </c>
      <c r="O26" s="163">
        <f>VLOOKUP($B26&amp;"3",Data!$C:$G,5,FALSE)</f>
        <v>3.47</v>
      </c>
      <c r="P26" s="164">
        <f t="shared" si="16"/>
        <v>3.1420108869676588E-3</v>
      </c>
      <c r="R26" s="161">
        <f>VLOOKUP($B26&amp;"4",Data!$C:$G,2,FALSE)</f>
        <v>16</v>
      </c>
      <c r="S26" s="162">
        <f>VLOOKUP($B26&amp;"4",Data!$C:$G,4,FALSE)</f>
        <v>1.068287037037037E-2</v>
      </c>
      <c r="T26" s="163">
        <f>VLOOKUP($B26&amp;"4",Data!$C:$G,5,FALSE)</f>
        <v>3.66</v>
      </c>
      <c r="U26" s="164">
        <f t="shared" si="17"/>
        <v>2.9188170410848007E-3</v>
      </c>
      <c r="W26" s="165">
        <f t="shared" si="18"/>
        <v>14.790000000000001</v>
      </c>
      <c r="X26" s="166">
        <f t="shared" si="19"/>
        <v>4.3252314814814813E-2</v>
      </c>
      <c r="Y26" s="164">
        <f t="shared" si="20"/>
        <v>2.9244296696967417E-3</v>
      </c>
      <c r="AA26" s="2">
        <f>RANK(Y26,Y$21:Y$26,1)</f>
        <v>6</v>
      </c>
    </row>
    <row r="27" spans="1:27">
      <c r="A27" s="5"/>
      <c r="B27" s="6"/>
      <c r="C27" s="5"/>
      <c r="D27" s="10"/>
      <c r="E27" s="11"/>
      <c r="F27" s="10"/>
      <c r="G27" s="6"/>
      <c r="H27" s="5"/>
      <c r="I27" s="10"/>
      <c r="J27" s="11"/>
      <c r="K27" s="10"/>
      <c r="L27" s="6"/>
      <c r="M27" s="5"/>
      <c r="N27" s="10"/>
      <c r="O27" s="11"/>
      <c r="P27" s="10"/>
      <c r="Q27" s="6"/>
      <c r="R27" s="5"/>
      <c r="S27" s="10"/>
      <c r="T27" s="11"/>
      <c r="U27" s="10"/>
      <c r="V27" s="6"/>
      <c r="X27" s="10"/>
      <c r="Y27" s="10"/>
    </row>
    <row r="28" spans="1:27">
      <c r="A28" s="5"/>
      <c r="B28" s="6"/>
      <c r="C28" s="5"/>
      <c r="D28" s="10"/>
      <c r="E28" s="11"/>
      <c r="F28" s="10"/>
      <c r="G28" s="6"/>
      <c r="H28" s="5"/>
      <c r="I28" s="10"/>
      <c r="J28" s="11"/>
      <c r="K28" s="10"/>
      <c r="L28" s="6"/>
      <c r="M28" s="5"/>
      <c r="N28" s="10"/>
      <c r="O28" s="11"/>
      <c r="P28" s="10"/>
      <c r="Q28" s="6"/>
      <c r="R28" s="5"/>
      <c r="S28" s="10"/>
      <c r="T28" s="11"/>
      <c r="U28" s="10"/>
      <c r="V28" s="6"/>
      <c r="W28" s="24" t="s">
        <v>39</v>
      </c>
      <c r="X28" s="23" t="s">
        <v>39</v>
      </c>
      <c r="Y28" s="23" t="s">
        <v>40</v>
      </c>
    </row>
    <row r="29" spans="1:27">
      <c r="A29" s="157"/>
      <c r="B29" s="158" t="s">
        <v>31</v>
      </c>
      <c r="C29" s="154" t="s">
        <v>11</v>
      </c>
      <c r="D29" s="15" t="s">
        <v>7</v>
      </c>
      <c r="E29" s="17" t="s">
        <v>32</v>
      </c>
      <c r="F29" s="15" t="s">
        <v>8</v>
      </c>
      <c r="H29" s="9" t="s">
        <v>11</v>
      </c>
      <c r="I29" s="15" t="s">
        <v>7</v>
      </c>
      <c r="J29" s="17" t="s">
        <v>32</v>
      </c>
      <c r="K29" s="15" t="s">
        <v>8</v>
      </c>
      <c r="M29" s="9" t="s">
        <v>11</v>
      </c>
      <c r="N29" s="15" t="s">
        <v>7</v>
      </c>
      <c r="O29" s="17" t="s">
        <v>32</v>
      </c>
      <c r="P29" s="15" t="s">
        <v>8</v>
      </c>
      <c r="R29" s="9" t="s">
        <v>11</v>
      </c>
      <c r="S29" s="15" t="s">
        <v>7</v>
      </c>
      <c r="T29" s="17" t="s">
        <v>32</v>
      </c>
      <c r="U29" s="15" t="s">
        <v>8</v>
      </c>
      <c r="W29" s="20" t="s">
        <v>38</v>
      </c>
      <c r="X29" s="132" t="s">
        <v>7</v>
      </c>
      <c r="Y29" s="19" t="s">
        <v>8</v>
      </c>
    </row>
    <row r="30" spans="1:27">
      <c r="A30" s="4"/>
      <c r="B30" s="156" t="str">
        <f>+'Team Selection'!J3</f>
        <v>Franky Reid</v>
      </c>
      <c r="C30" s="127">
        <f>VLOOKUP($B30&amp;"1",Data!$C:$G,2,FALSE)</f>
        <v>4</v>
      </c>
      <c r="D30" s="128">
        <f>VLOOKUP($B30&amp;"1",Data!$C:$G,4,FALSE)</f>
        <v>1.3564814814814816E-2</v>
      </c>
      <c r="E30" s="129">
        <f>VLOOKUP($B30&amp;"1",Data!$C:$G,5,FALSE)</f>
        <v>3.39</v>
      </c>
      <c r="F30" s="130">
        <f>+D30/E30</f>
        <v>4.0014202993554028E-3</v>
      </c>
      <c r="H30" s="127">
        <f>VLOOKUP($B30&amp;"2",Data!$C:$G,2,FALSE)</f>
        <v>8</v>
      </c>
      <c r="I30" s="128">
        <f>VLOOKUP($B30&amp;"2",Data!$C:$G,4,FALSE)</f>
        <v>1.503472222222222E-2</v>
      </c>
      <c r="J30" s="129">
        <f>VLOOKUP($B30&amp;"2",Data!$C:$G,5,FALSE)</f>
        <v>3.67</v>
      </c>
      <c r="K30" s="130">
        <f>+I30/J30</f>
        <v>4.0966545564638203E-3</v>
      </c>
      <c r="M30" s="127">
        <f>VLOOKUP($B30&amp;"3",Data!$C:$G,2,FALSE)</f>
        <v>10</v>
      </c>
      <c r="N30" s="128">
        <f>VLOOKUP($B30&amp;"3",Data!$C:$G,4,FALSE)</f>
        <v>1.34375E-2</v>
      </c>
      <c r="O30" s="129">
        <f>VLOOKUP($B30&amp;"3",Data!$C:$G,5,FALSE)</f>
        <v>3.25</v>
      </c>
      <c r="P30" s="130">
        <f>+N30/O30</f>
        <v>4.1346153846153842E-3</v>
      </c>
      <c r="R30" s="127">
        <f>VLOOKUP($B30&amp;"4",Data!$C:$G,2,FALSE)</f>
        <v>16</v>
      </c>
      <c r="S30" s="128">
        <f>VLOOKUP($B30&amp;"4",Data!$C:$G,4,FALSE)</f>
        <v>1.3703703703703704E-2</v>
      </c>
      <c r="T30" s="129">
        <f>VLOOKUP($B30&amp;"4",Data!$C:$G,5,FALSE)</f>
        <v>3.66</v>
      </c>
      <c r="U30" s="130">
        <f>+S30/T30</f>
        <v>3.7441813398097551E-3</v>
      </c>
      <c r="W30" s="133">
        <f>SUM(E30,J30,O30,T30)</f>
        <v>13.97</v>
      </c>
      <c r="X30" s="152">
        <f>SUM(D30,I30,N30,S30)</f>
        <v>5.5740740740740737E-2</v>
      </c>
      <c r="Y30" s="130">
        <f>SUM(D30,I30,N30,S30)/W30</f>
        <v>3.9900315490866665E-3</v>
      </c>
      <c r="AA30" s="2">
        <f>RANK(Y30,Y$30:Y$35,1)</f>
        <v>6</v>
      </c>
    </row>
    <row r="31" spans="1:27">
      <c r="A31" s="4"/>
      <c r="B31" s="118" t="str">
        <f>+'Team Selection'!J4</f>
        <v>Robyn Fletcher</v>
      </c>
      <c r="C31" s="127">
        <f>VLOOKUP($B31&amp;"1",Data!$C:$G,2,FALSE)</f>
        <v>1</v>
      </c>
      <c r="D31" s="128">
        <f>VLOOKUP($B31&amp;"1",Data!$C:$G,4,FALSE)</f>
        <v>1.0856481481481481E-2</v>
      </c>
      <c r="E31" s="129">
        <f>VLOOKUP($B31&amp;"1",Data!$C:$G,5,FALSE)</f>
        <v>3.39</v>
      </c>
      <c r="F31" s="130">
        <f t="shared" ref="F31:F35" si="21">+D31/E31</f>
        <v>3.2025019119414399E-3</v>
      </c>
      <c r="H31" s="127">
        <f>VLOOKUP($B31&amp;"2",Data!$C:$G,2,FALSE)</f>
        <v>8</v>
      </c>
      <c r="I31" s="128">
        <f>VLOOKUP($B31&amp;"2",Data!$C:$G,4,FALSE)</f>
        <v>1.292824074074074E-2</v>
      </c>
      <c r="J31" s="129">
        <f>VLOOKUP($B31&amp;"2",Data!$C:$G,5,FALSE)</f>
        <v>3.67</v>
      </c>
      <c r="K31" s="130">
        <f t="shared" ref="K31:K35" si="22">+I31/J31</f>
        <v>3.5226814007467957E-3</v>
      </c>
      <c r="M31" s="127">
        <f>VLOOKUP($B31&amp;"3",Data!$C:$G,2,FALSE)</f>
        <v>10</v>
      </c>
      <c r="N31" s="128">
        <f>VLOOKUP($B31&amp;"3",Data!$C:$G,4,FALSE)</f>
        <v>1.087962962962963E-2</v>
      </c>
      <c r="O31" s="129">
        <f>VLOOKUP($B31&amp;"3",Data!$C:$G,5,FALSE)</f>
        <v>3.25</v>
      </c>
      <c r="P31" s="130">
        <f t="shared" ref="P31:P35" si="23">+N31/O31</f>
        <v>3.3475783475783475E-3</v>
      </c>
      <c r="R31" s="127">
        <f>VLOOKUP($B31&amp;"4",Data!$C:$G,2,FALSE)</f>
        <v>16</v>
      </c>
      <c r="S31" s="128">
        <f>VLOOKUP($B31&amp;"4",Data!$C:$G,4,FALSE)</f>
        <v>1.1967592592592592E-2</v>
      </c>
      <c r="T31" s="129">
        <f>VLOOKUP($B31&amp;"4",Data!$C:$G,5,FALSE)</f>
        <v>3.66</v>
      </c>
      <c r="U31" s="130">
        <f t="shared" ref="U31:U35" si="24">+S31/T31</f>
        <v>3.2698340416919651E-3</v>
      </c>
      <c r="W31" s="133">
        <f t="shared" ref="W31:W35" si="25">SUM(E31,J31,O31,T31)</f>
        <v>13.97</v>
      </c>
      <c r="X31" s="152">
        <f t="shared" ref="X31:X35" si="26">SUM(D31,I31,N31,S31)</f>
        <v>4.6631944444444441E-2</v>
      </c>
      <c r="Y31" s="130">
        <f t="shared" ref="Y31:Y35" si="27">SUM(D31,I31,N31,S31)/W31</f>
        <v>3.3380060446989578E-3</v>
      </c>
      <c r="AA31" s="2">
        <f>RANK(Y31,Y$30:Y$35,1)</f>
        <v>5</v>
      </c>
    </row>
    <row r="32" spans="1:27">
      <c r="A32" s="4"/>
      <c r="B32" s="118" t="str">
        <f>+'Team Selection'!J5</f>
        <v>James Chiriano</v>
      </c>
      <c r="C32" s="127">
        <f>VLOOKUP($B32&amp;"1",Data!$C:$G,2,FALSE)</f>
        <v>4</v>
      </c>
      <c r="D32" s="128">
        <f>VLOOKUP($B32&amp;"1",Data!$C:$G,4,FALSE)</f>
        <v>9.8611111111111104E-3</v>
      </c>
      <c r="E32" s="129">
        <f>VLOOKUP($B32&amp;"1",Data!$C:$G,5,FALSE)</f>
        <v>3.39</v>
      </c>
      <c r="F32" s="130">
        <f t="shared" si="21"/>
        <v>2.9088823336610942E-3</v>
      </c>
      <c r="H32" s="127">
        <f>VLOOKUP($B32&amp;"2",Data!$C:$G,2,FALSE)</f>
        <v>8</v>
      </c>
      <c r="I32" s="128">
        <f>VLOOKUP($B32&amp;"2",Data!$C:$G,4,FALSE)</f>
        <v>1.091435185185185E-2</v>
      </c>
      <c r="J32" s="129">
        <f>VLOOKUP($B32&amp;"2",Data!$C:$G,5,FALSE)</f>
        <v>3.67</v>
      </c>
      <c r="K32" s="130">
        <f t="shared" si="22"/>
        <v>2.9739378342920576E-3</v>
      </c>
      <c r="M32" s="127">
        <f>VLOOKUP($B32&amp;"3",Data!$C:$G,2,FALSE)</f>
        <v>10</v>
      </c>
      <c r="N32" s="128">
        <f>VLOOKUP($B32&amp;"3",Data!$C:$G,4,FALSE)</f>
        <v>9.8148148148148144E-3</v>
      </c>
      <c r="O32" s="129">
        <f>VLOOKUP($B32&amp;"3",Data!$C:$G,5,FALSE)</f>
        <v>3.25</v>
      </c>
      <c r="P32" s="130">
        <f t="shared" si="23"/>
        <v>3.0199430199430197E-3</v>
      </c>
      <c r="R32" s="127">
        <f>VLOOKUP($B32&amp;"4",Data!$C:$G,2,FALSE)</f>
        <v>16</v>
      </c>
      <c r="S32" s="128">
        <f>VLOOKUP($B32&amp;"4",Data!$C:$G,4,FALSE)</f>
        <v>1.119212962962963E-2</v>
      </c>
      <c r="T32" s="129">
        <f>VLOOKUP($B32&amp;"4",Data!$C:$G,5,FALSE)</f>
        <v>3.66</v>
      </c>
      <c r="U32" s="130">
        <f t="shared" si="24"/>
        <v>3.0579589151993524E-3</v>
      </c>
      <c r="W32" s="133">
        <f t="shared" si="25"/>
        <v>13.97</v>
      </c>
      <c r="X32" s="152">
        <f t="shared" si="26"/>
        <v>4.1782407407407407E-2</v>
      </c>
      <c r="Y32" s="130">
        <f t="shared" si="27"/>
        <v>2.9908666719690338E-3</v>
      </c>
      <c r="AA32" s="2">
        <f>RANK(Y32,Y$30:Y$35,1)</f>
        <v>2</v>
      </c>
    </row>
    <row r="33" spans="1:27">
      <c r="A33" s="4"/>
      <c r="B33" s="118" t="str">
        <f>+'Team Selection'!J6</f>
        <v>Ross Prickett</v>
      </c>
      <c r="C33" s="127">
        <f>VLOOKUP($B33&amp;"1",Data!$C:$G,2,FALSE)</f>
        <v>4</v>
      </c>
      <c r="D33" s="128">
        <f>VLOOKUP($B33&amp;"1",Data!$C:$G,4,FALSE)</f>
        <v>9.9537037037037042E-3</v>
      </c>
      <c r="E33" s="129">
        <f>VLOOKUP($B33&amp;"1",Data!$C:$G,5,FALSE)</f>
        <v>3.39</v>
      </c>
      <c r="F33" s="130">
        <f t="shared" si="21"/>
        <v>2.9361957828034527E-3</v>
      </c>
      <c r="H33" s="127">
        <f>VLOOKUP($B33&amp;"2",Data!$C:$G,2,FALSE)</f>
        <v>8</v>
      </c>
      <c r="I33" s="128">
        <f>VLOOKUP($B33&amp;"2",Data!$C:$G,4,FALSE)</f>
        <v>1.0972222222222223E-2</v>
      </c>
      <c r="J33" s="129">
        <f>VLOOKUP($B33&amp;"2",Data!$C:$G,5,FALSE)</f>
        <v>3.67</v>
      </c>
      <c r="K33" s="130">
        <f t="shared" si="22"/>
        <v>2.9897063275809875E-3</v>
      </c>
      <c r="M33" s="127">
        <f>VLOOKUP($B33&amp;"3",Data!$C:$G,2,FALSE)</f>
        <v>10</v>
      </c>
      <c r="N33" s="128">
        <f>VLOOKUP($B33&amp;"3",Data!$C:$G,4,FALSE)</f>
        <v>1.0069444444444445E-2</v>
      </c>
      <c r="O33" s="129">
        <f>VLOOKUP($B33&amp;"3",Data!$C:$G,5,FALSE)</f>
        <v>3.25</v>
      </c>
      <c r="P33" s="130">
        <f t="shared" si="23"/>
        <v>3.0982905982905986E-3</v>
      </c>
      <c r="R33" s="127">
        <f>VLOOKUP($B33&amp;"4",Data!$C:$G,2,FALSE)</f>
        <v>16</v>
      </c>
      <c r="S33" s="128">
        <f>VLOOKUP($B33&amp;"4",Data!$C:$G,4,FALSE)</f>
        <v>1.1087962962962964E-2</v>
      </c>
      <c r="T33" s="129">
        <f>VLOOKUP($B33&amp;"4",Data!$C:$G,5,FALSE)</f>
        <v>3.66</v>
      </c>
      <c r="U33" s="130">
        <f t="shared" si="24"/>
        <v>3.0294980773122853E-3</v>
      </c>
      <c r="W33" s="133">
        <f t="shared" si="25"/>
        <v>13.97</v>
      </c>
      <c r="X33" s="152">
        <f t="shared" si="26"/>
        <v>4.2083333333333341E-2</v>
      </c>
      <c r="Y33" s="130">
        <f t="shared" si="27"/>
        <v>3.0124075399665957E-3</v>
      </c>
      <c r="AA33" s="2">
        <f>RANK(Y33,Y$30:Y$35,1)</f>
        <v>3</v>
      </c>
    </row>
    <row r="34" spans="1:27">
      <c r="A34" s="4"/>
      <c r="B34" s="118" t="str">
        <f>+'Team Selection'!J7</f>
        <v>Martin Duchovny</v>
      </c>
      <c r="C34" s="127">
        <f>VLOOKUP($B34&amp;"1",Data!$C:$G,2,FALSE)</f>
        <v>4</v>
      </c>
      <c r="D34" s="128">
        <f>VLOOKUP($B34&amp;"1",Data!$C:$G,4,FALSE)</f>
        <v>1.0104166666666668E-2</v>
      </c>
      <c r="E34" s="129">
        <f>VLOOKUP($B34&amp;"1",Data!$C:$G,5,FALSE)</f>
        <v>3.39</v>
      </c>
      <c r="F34" s="130">
        <f t="shared" si="21"/>
        <v>2.9805801376597838E-3</v>
      </c>
      <c r="H34" s="127">
        <f>VLOOKUP($B34&amp;"2",Data!$C:$G,2,FALSE)</f>
        <v>8</v>
      </c>
      <c r="I34" s="128">
        <f>VLOOKUP($B34&amp;"2",Data!$C:$G,4,FALSE)</f>
        <v>1.119212962962963E-2</v>
      </c>
      <c r="J34" s="129">
        <f>VLOOKUP($B34&amp;"2",Data!$C:$G,5,FALSE)</f>
        <v>3.67</v>
      </c>
      <c r="K34" s="130">
        <f t="shared" si="22"/>
        <v>3.0496266020789181E-3</v>
      </c>
      <c r="M34" s="127">
        <f>VLOOKUP($B34&amp;"3",Data!$C:$G,2,FALSE)</f>
        <v>10</v>
      </c>
      <c r="N34" s="128">
        <f>VLOOKUP($B34&amp;"3",Data!$C:$G,4,FALSE)</f>
        <v>1.0439814814814813E-2</v>
      </c>
      <c r="O34" s="129">
        <f>VLOOKUP($B34&amp;"3",Data!$C:$G,5,FALSE)</f>
        <v>3.25</v>
      </c>
      <c r="P34" s="130">
        <f t="shared" si="23"/>
        <v>3.2122507122507118E-3</v>
      </c>
      <c r="R34" s="127">
        <f>VLOOKUP($B34&amp;"4",Data!$C:$G,2,FALSE)</f>
        <v>16</v>
      </c>
      <c r="S34" s="128">
        <f>VLOOKUP($B34&amp;"4",Data!$C:$G,4,FALSE)</f>
        <v>1.1759259259259259E-2</v>
      </c>
      <c r="T34" s="129">
        <f>VLOOKUP($B34&amp;"4",Data!$C:$G,5,FALSE)</f>
        <v>3.66</v>
      </c>
      <c r="U34" s="130">
        <f t="shared" si="24"/>
        <v>3.2129123659178304E-3</v>
      </c>
      <c r="W34" s="133">
        <f t="shared" si="25"/>
        <v>13.97</v>
      </c>
      <c r="X34" s="152">
        <f t="shared" si="26"/>
        <v>4.3495370370370372E-2</v>
      </c>
      <c r="Y34" s="130">
        <f t="shared" si="27"/>
        <v>3.1134839205705345E-3</v>
      </c>
      <c r="AA34" s="2">
        <f>RANK(Y34,Y$30:Y$35,1)</f>
        <v>4</v>
      </c>
    </row>
    <row r="35" spans="1:27">
      <c r="A35" s="4"/>
      <c r="B35" s="118" t="str">
        <f>+'Team Selection'!J8</f>
        <v>Rory Heddles</v>
      </c>
      <c r="C35" s="161">
        <f>VLOOKUP($B35&amp;"1",Data!$C:$G,2,FALSE)</f>
        <v>4</v>
      </c>
      <c r="D35" s="162">
        <f>VLOOKUP($B35&amp;"1",Data!$C:$G,4,FALSE)</f>
        <v>9.6874999999999999E-3</v>
      </c>
      <c r="E35" s="163">
        <f>VLOOKUP($B35&amp;"1",Data!$C:$G,5,FALSE)</f>
        <v>3.39</v>
      </c>
      <c r="F35" s="164">
        <f t="shared" si="21"/>
        <v>2.857669616519174E-3</v>
      </c>
      <c r="H35" s="161">
        <f>VLOOKUP($B35&amp;"2",Data!$C:$G,2,FALSE)</f>
        <v>8</v>
      </c>
      <c r="I35" s="162">
        <f>VLOOKUP($B35&amp;"2",Data!$C:$G,4,FALSE)</f>
        <v>1.0659722222222221E-2</v>
      </c>
      <c r="J35" s="163">
        <f>VLOOKUP($B35&amp;"2",Data!$C:$G,5,FALSE)</f>
        <v>3.67</v>
      </c>
      <c r="K35" s="164">
        <f t="shared" si="22"/>
        <v>2.9045564638207687E-3</v>
      </c>
      <c r="M35" s="161">
        <f>VLOOKUP($B35&amp;"3",Data!$C:$G,2,FALSE)</f>
        <v>10</v>
      </c>
      <c r="N35" s="162">
        <f>VLOOKUP($B35&amp;"3",Data!$C:$G,4,FALSE)</f>
        <v>9.6874999999999999E-3</v>
      </c>
      <c r="O35" s="163">
        <f>VLOOKUP($B35&amp;"3",Data!$C:$G,5,FALSE)</f>
        <v>3.25</v>
      </c>
      <c r="P35" s="164">
        <f t="shared" si="23"/>
        <v>2.9807692307692308E-3</v>
      </c>
      <c r="R35" s="161">
        <f>VLOOKUP($B35&amp;"4",Data!$C:$G,2,FALSE)</f>
        <v>15</v>
      </c>
      <c r="S35" s="162">
        <f>VLOOKUP($B35&amp;"4",Data!$C:$G,4,FALSE)</f>
        <v>1.1516203703703702E-2</v>
      </c>
      <c r="T35" s="163">
        <f>VLOOKUP($B35&amp;"4",Data!$C:$G,5,FALSE)</f>
        <v>4.49</v>
      </c>
      <c r="U35" s="164">
        <f t="shared" si="24"/>
        <v>2.5648560587313365E-3</v>
      </c>
      <c r="W35" s="165">
        <f t="shared" si="25"/>
        <v>14.8</v>
      </c>
      <c r="X35" s="166">
        <f t="shared" si="26"/>
        <v>4.1550925925925922E-2</v>
      </c>
      <c r="Y35" s="164">
        <f t="shared" si="27"/>
        <v>2.8074949949949946E-3</v>
      </c>
      <c r="AA35" s="2">
        <f>RANK(Y35,Y$30:Y$35,1)</f>
        <v>1</v>
      </c>
    </row>
    <row r="36" spans="1:27">
      <c r="C36" s="5"/>
      <c r="D36" s="10"/>
      <c r="E36" s="11"/>
      <c r="F36" s="10"/>
      <c r="G36" s="6"/>
      <c r="H36" s="5"/>
      <c r="I36" s="10"/>
      <c r="J36" s="11"/>
      <c r="K36" s="10"/>
      <c r="L36" s="6"/>
      <c r="M36" s="5"/>
      <c r="N36" s="10"/>
      <c r="O36" s="11"/>
      <c r="P36" s="10"/>
      <c r="Q36" s="6"/>
      <c r="R36" s="5"/>
      <c r="S36" s="10"/>
      <c r="T36" s="11"/>
      <c r="U36" s="10"/>
      <c r="X36" s="10"/>
      <c r="Y36" s="10"/>
    </row>
    <row r="42" spans="1:27">
      <c r="N42" s="167"/>
    </row>
  </sheetData>
  <sheetCalcPr fullCalcOnLoad="1"/>
  <phoneticPr fontId="0" type="noConversion"/>
  <pageMargins left="0.44" right="0.59" top="1.0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97"/>
  <sheetViews>
    <sheetView workbookViewId="0"/>
  </sheetViews>
  <sheetFormatPr defaultRowHeight="12.75"/>
  <cols>
    <col min="1" max="1" width="14" style="12" customWidth="1"/>
    <col min="2" max="2" width="9.140625" style="12"/>
    <col min="3" max="3" width="20" style="12" customWidth="1"/>
    <col min="4" max="4" width="9.140625" style="12"/>
    <col min="5" max="5" width="20.7109375" customWidth="1"/>
  </cols>
  <sheetData>
    <row r="1" spans="1:7">
      <c r="A1" s="12" t="s">
        <v>46</v>
      </c>
      <c r="B1" s="12" t="s">
        <v>0</v>
      </c>
      <c r="D1" s="12" t="s">
        <v>11</v>
      </c>
      <c r="E1" s="12" t="s">
        <v>37</v>
      </c>
      <c r="F1" s="12" t="s">
        <v>7</v>
      </c>
      <c r="G1" s="12" t="s">
        <v>38</v>
      </c>
    </row>
    <row r="2" spans="1:7">
      <c r="A2" s="12">
        <f>COUNTIF(E$2:E2,E2)</f>
        <v>1</v>
      </c>
      <c r="B2" s="12">
        <v>1</v>
      </c>
      <c r="C2" s="12" t="str">
        <f>E2&amp;A2</f>
        <v>Glenn Goodman1</v>
      </c>
      <c r="D2" s="12">
        <v>1</v>
      </c>
      <c r="E2" t="str">
        <f>+'Stage Entry'!H4</f>
        <v>Glenn Goodman</v>
      </c>
      <c r="F2" s="119">
        <f>+'Stage Entry'!I4</f>
        <v>9.4212962962962957E-3</v>
      </c>
      <c r="G2" s="13">
        <f t="shared" ref="G2:G13" si="0">+Dist1</f>
        <v>3.39</v>
      </c>
    </row>
    <row r="3" spans="1:7">
      <c r="A3" s="12">
        <f>COUNTIF(E$2:E3,E3)</f>
        <v>1</v>
      </c>
      <c r="B3" s="12">
        <v>2</v>
      </c>
      <c r="C3" s="12" t="str">
        <f t="shared" ref="C3:C57" si="1">E3&amp;A3</f>
        <v>Robyn Fletcher1</v>
      </c>
      <c r="D3" s="12">
        <v>1</v>
      </c>
      <c r="E3" t="str">
        <f>+'Stage Entry'!H5</f>
        <v>Robyn Fletcher</v>
      </c>
      <c r="F3" s="119">
        <f>+'Stage Entry'!I5</f>
        <v>1.0856481481481481E-2</v>
      </c>
      <c r="G3" s="13">
        <f t="shared" si="0"/>
        <v>3.39</v>
      </c>
    </row>
    <row r="4" spans="1:7">
      <c r="A4" s="12">
        <f>COUNTIF(E$2:E4,E4)</f>
        <v>1</v>
      </c>
      <c r="B4" s="12">
        <v>3</v>
      </c>
      <c r="C4" s="12" t="str">
        <f t="shared" si="1"/>
        <v>Mark Stodden1</v>
      </c>
      <c r="D4" s="12">
        <v>1</v>
      </c>
      <c r="E4" t="str">
        <f>+'Stage Entry'!H6</f>
        <v>Mark Stodden</v>
      </c>
      <c r="F4" s="119">
        <f>+'Stage Entry'!I6</f>
        <v>8.8425925925925911E-3</v>
      </c>
      <c r="G4" s="13">
        <f t="shared" si="0"/>
        <v>3.39</v>
      </c>
    </row>
    <row r="5" spans="1:7">
      <c r="A5" s="12">
        <f>COUNTIF(E$2:E5,E5)</f>
        <v>1</v>
      </c>
      <c r="B5" s="12">
        <v>4</v>
      </c>
      <c r="C5" s="12" t="str">
        <f t="shared" si="1"/>
        <v>Simon Bevege1</v>
      </c>
      <c r="D5" s="12">
        <v>1</v>
      </c>
      <c r="E5" t="str">
        <f>+'Stage Entry'!H7</f>
        <v>Simon Bevege</v>
      </c>
      <c r="F5" s="119">
        <f>+'Stage Entry'!I7</f>
        <v>8.1365740740740738E-3</v>
      </c>
      <c r="G5" s="13">
        <f t="shared" si="0"/>
        <v>3.39</v>
      </c>
    </row>
    <row r="6" spans="1:7">
      <c r="A6" s="12">
        <f>COUNTIF(E$2:E6,E6)</f>
        <v>1</v>
      </c>
      <c r="B6" s="12">
        <v>5</v>
      </c>
      <c r="C6" s="12" t="str">
        <f t="shared" si="1"/>
        <v>David Venour1</v>
      </c>
      <c r="D6" s="12">
        <v>1</v>
      </c>
      <c r="E6" t="str">
        <f>+'Stage Entry'!H8</f>
        <v>David Venour</v>
      </c>
      <c r="F6" s="119">
        <f>+'Stage Entry'!I8</f>
        <v>8.4143518518518517E-3</v>
      </c>
      <c r="G6" s="13">
        <f t="shared" si="0"/>
        <v>3.39</v>
      </c>
    </row>
    <row r="7" spans="1:7">
      <c r="A7" s="12">
        <f>COUNTIF(E$2:E7,E7)</f>
        <v>1</v>
      </c>
      <c r="B7" s="12">
        <v>6</v>
      </c>
      <c r="C7" s="12" t="str">
        <f t="shared" si="1"/>
        <v>Richard Does1</v>
      </c>
      <c r="D7" s="12">
        <v>1</v>
      </c>
      <c r="E7" t="str">
        <f>+'Stage Entry'!H9</f>
        <v>Richard Does</v>
      </c>
      <c r="F7" s="119">
        <f>+'Stage Entry'!I9</f>
        <v>8.6921296296296312E-3</v>
      </c>
      <c r="G7" s="13">
        <f t="shared" si="0"/>
        <v>3.39</v>
      </c>
    </row>
    <row r="8" spans="1:7">
      <c r="A8" s="12">
        <f>COUNTIF(E$2:E8,E8)</f>
        <v>1</v>
      </c>
      <c r="B8" s="12">
        <v>1</v>
      </c>
      <c r="C8" s="12" t="str">
        <f t="shared" si="1"/>
        <v>David Mellings1</v>
      </c>
      <c r="D8" s="12">
        <v>2</v>
      </c>
      <c r="E8" t="str">
        <f>+'Stage Entry'!M4</f>
        <v>David Mellings</v>
      </c>
      <c r="F8" s="119">
        <f>+'Stage Entry'!N4</f>
        <v>9.479166666666667E-3</v>
      </c>
      <c r="G8" s="13">
        <f t="shared" si="0"/>
        <v>3.39</v>
      </c>
    </row>
    <row r="9" spans="1:7">
      <c r="A9" s="12">
        <f>COUNTIF(E$2:E9,E9)</f>
        <v>1</v>
      </c>
      <c r="B9" s="12">
        <v>2</v>
      </c>
      <c r="C9" s="12" t="str">
        <f t="shared" si="1"/>
        <v>Tony Hally1</v>
      </c>
      <c r="D9" s="12">
        <v>2</v>
      </c>
      <c r="E9" t="str">
        <f>+'Stage Entry'!M5</f>
        <v>Tony Hally</v>
      </c>
      <c r="F9" s="119">
        <f>+'Stage Entry'!N5</f>
        <v>9.5949074074074079E-3</v>
      </c>
      <c r="G9" s="13">
        <f t="shared" si="0"/>
        <v>3.39</v>
      </c>
    </row>
    <row r="10" spans="1:7">
      <c r="A10" s="12">
        <f>COUNTIF(E$2:E10,E10)</f>
        <v>1</v>
      </c>
      <c r="B10" s="12">
        <v>3</v>
      </c>
      <c r="C10" s="12" t="str">
        <f t="shared" si="1"/>
        <v>Ewen Vowels1</v>
      </c>
      <c r="D10" s="12">
        <v>2</v>
      </c>
      <c r="E10" t="str">
        <f>+'Stage Entry'!M6</f>
        <v>Ewen Vowels</v>
      </c>
      <c r="F10" s="119">
        <f>+'Stage Entry'!N6</f>
        <v>9.5370370370370366E-3</v>
      </c>
      <c r="G10" s="13">
        <f t="shared" si="0"/>
        <v>3.39</v>
      </c>
    </row>
    <row r="11" spans="1:7">
      <c r="A11" s="12">
        <f>COUNTIF(E$2:E11,E11)</f>
        <v>1</v>
      </c>
      <c r="B11" s="12">
        <v>4</v>
      </c>
      <c r="C11" s="12" t="str">
        <f t="shared" si="1"/>
        <v>Dale Nardella1</v>
      </c>
      <c r="D11" s="12">
        <v>2</v>
      </c>
      <c r="E11" t="str">
        <f>+'Stage Entry'!M7</f>
        <v>Dale Nardella</v>
      </c>
      <c r="F11" s="119">
        <f>+'Stage Entry'!N7</f>
        <v>9.5601851851851855E-3</v>
      </c>
      <c r="G11" s="13">
        <f t="shared" si="0"/>
        <v>3.39</v>
      </c>
    </row>
    <row r="12" spans="1:7">
      <c r="A12" s="12">
        <f>COUNTIF(E$2:E12,E12)</f>
        <v>1</v>
      </c>
      <c r="B12" s="12">
        <v>5</v>
      </c>
      <c r="C12" s="12" t="str">
        <f t="shared" si="1"/>
        <v>Chris Osborne1</v>
      </c>
      <c r="D12" s="12">
        <v>2</v>
      </c>
      <c r="E12" t="str">
        <f>+'Stage Entry'!M8</f>
        <v>Chris Osborne</v>
      </c>
      <c r="F12" s="119">
        <f>+'Stage Entry'!N8</f>
        <v>9.7685185185185184E-3</v>
      </c>
      <c r="G12" s="13">
        <f t="shared" si="0"/>
        <v>3.39</v>
      </c>
    </row>
    <row r="13" spans="1:7">
      <c r="A13" s="12">
        <f>COUNTIF(E$2:E13,E13)</f>
        <v>1</v>
      </c>
      <c r="B13" s="12">
        <v>6</v>
      </c>
      <c r="C13" s="12" t="str">
        <f t="shared" si="1"/>
        <v>Robyn Millard1</v>
      </c>
      <c r="D13" s="12">
        <v>2</v>
      </c>
      <c r="E13" t="str">
        <f>+'Stage Entry'!M9</f>
        <v>Robyn Millard</v>
      </c>
      <c r="F13" s="119">
        <f>+'Stage Entry'!N9</f>
        <v>1.0266203703703703E-2</v>
      </c>
      <c r="G13" s="13">
        <f t="shared" si="0"/>
        <v>3.39</v>
      </c>
    </row>
    <row r="14" spans="1:7">
      <c r="A14" s="12">
        <f>COUNTIF(E$2:E14,E14)</f>
        <v>1</v>
      </c>
      <c r="B14" s="12">
        <v>1</v>
      </c>
      <c r="C14" s="12" t="str">
        <f t="shared" si="1"/>
        <v>Andrew Coles1</v>
      </c>
      <c r="D14" s="12">
        <v>3</v>
      </c>
      <c r="E14" t="str">
        <f>+'Stage Entry'!R4</f>
        <v>Andrew Coles</v>
      </c>
      <c r="F14" s="119">
        <f>+'Stage Entry'!S4</f>
        <v>7.905092592592592E-3</v>
      </c>
      <c r="G14" s="13">
        <f t="shared" ref="G14:G19" si="2">+Dist2</f>
        <v>3.39</v>
      </c>
    </row>
    <row r="15" spans="1:7">
      <c r="A15" s="12">
        <f>COUNTIF(E$2:E15,E15)</f>
        <v>1</v>
      </c>
      <c r="B15" s="12">
        <v>2</v>
      </c>
      <c r="C15" s="12" t="str">
        <f t="shared" si="1"/>
        <v>Kate Seibold1</v>
      </c>
      <c r="D15" s="12">
        <v>3</v>
      </c>
      <c r="E15" t="str">
        <f>+'Stage Entry'!R5</f>
        <v>Kate Seibold</v>
      </c>
      <c r="F15" s="119">
        <f>+'Stage Entry'!S5</f>
        <v>9.3749999999999997E-3</v>
      </c>
      <c r="G15" s="13">
        <f t="shared" si="2"/>
        <v>3.39</v>
      </c>
    </row>
    <row r="16" spans="1:7">
      <c r="A16" s="12">
        <f>COUNTIF(E$2:E16,E16)</f>
        <v>1</v>
      </c>
      <c r="B16" s="12">
        <v>3</v>
      </c>
      <c r="C16" s="12" t="str">
        <f t="shared" si="1"/>
        <v>Paul Munro1</v>
      </c>
      <c r="D16" s="12">
        <v>3</v>
      </c>
      <c r="E16" t="str">
        <f>+'Stage Entry'!R6</f>
        <v>Paul Munro</v>
      </c>
      <c r="F16" s="119">
        <f>+'Stage Entry'!S6</f>
        <v>8.3564814814814804E-3</v>
      </c>
      <c r="G16" s="13">
        <f t="shared" si="2"/>
        <v>3.39</v>
      </c>
    </row>
    <row r="17" spans="1:7">
      <c r="A17" s="12">
        <f>COUNTIF(E$2:E17,E17)</f>
        <v>1</v>
      </c>
      <c r="B17" s="12">
        <v>4</v>
      </c>
      <c r="C17" s="12" t="str">
        <f t="shared" si="1"/>
        <v>Anthony Mithen1</v>
      </c>
      <c r="D17" s="12">
        <v>3</v>
      </c>
      <c r="E17" t="str">
        <f>+'Stage Entry'!R7</f>
        <v>Anthony Mithen</v>
      </c>
      <c r="F17" s="119">
        <f>+'Stage Entry'!S7</f>
        <v>9.6759259259259264E-3</v>
      </c>
      <c r="G17" s="13">
        <f t="shared" si="2"/>
        <v>3.39</v>
      </c>
    </row>
    <row r="18" spans="1:7">
      <c r="A18" s="12">
        <f>COUNTIF(E$2:E18,E18)</f>
        <v>1</v>
      </c>
      <c r="B18" s="12">
        <v>5</v>
      </c>
      <c r="C18" s="12" t="str">
        <f t="shared" si="1"/>
        <v>Glenn Carroll1</v>
      </c>
      <c r="D18" s="12">
        <v>3</v>
      </c>
      <c r="E18" t="str">
        <f>+'Stage Entry'!R8</f>
        <v>Glenn Carroll</v>
      </c>
      <c r="F18" s="119">
        <f>+'Stage Entry'!S8</f>
        <v>8.8541666666666664E-3</v>
      </c>
      <c r="G18" s="13">
        <f t="shared" si="2"/>
        <v>3.39</v>
      </c>
    </row>
    <row r="19" spans="1:7">
      <c r="A19" s="12">
        <f>COUNTIF(E$2:E19,E19)</f>
        <v>1</v>
      </c>
      <c r="B19" s="12">
        <v>6</v>
      </c>
      <c r="C19" s="12" t="str">
        <f t="shared" si="1"/>
        <v>Stephen Paine1</v>
      </c>
      <c r="D19" s="12">
        <v>3</v>
      </c>
      <c r="E19" t="str">
        <f>+'Stage Entry'!R9</f>
        <v>Stephen Paine</v>
      </c>
      <c r="F19" s="119">
        <f>+'Stage Entry'!S9</f>
        <v>8.6921296296296312E-3</v>
      </c>
      <c r="G19" s="13">
        <f t="shared" si="2"/>
        <v>3.39</v>
      </c>
    </row>
    <row r="20" spans="1:7">
      <c r="A20" s="12">
        <f>COUNTIF(E$2:E20,E20)</f>
        <v>1</v>
      </c>
      <c r="B20" s="12">
        <v>1</v>
      </c>
      <c r="C20" s="12" t="str">
        <f t="shared" si="1"/>
        <v>Franky Reid1</v>
      </c>
      <c r="D20" s="12">
        <v>4</v>
      </c>
      <c r="E20" t="str">
        <f>+'Stage Entry'!W4</f>
        <v>Franky Reid</v>
      </c>
      <c r="F20" s="119">
        <f>+'Stage Entry'!X4</f>
        <v>1.3564814814814816E-2</v>
      </c>
      <c r="G20" s="13">
        <f t="shared" ref="G20:G25" si="3">+Dist3</f>
        <v>3.39</v>
      </c>
    </row>
    <row r="21" spans="1:7">
      <c r="A21" s="12">
        <f>COUNTIF(E$2:E21,E21)</f>
        <v>1</v>
      </c>
      <c r="B21" s="12">
        <v>2</v>
      </c>
      <c r="C21" s="12" t="str">
        <f t="shared" si="1"/>
        <v>Joji Mori1</v>
      </c>
      <c r="D21" s="12">
        <v>4</v>
      </c>
      <c r="E21" t="str">
        <f>+'Stage Entry'!W5</f>
        <v>Joji Mori</v>
      </c>
      <c r="F21" s="119">
        <f>+'Stage Entry'!X5</f>
        <v>8.1828703703703699E-3</v>
      </c>
      <c r="G21" s="13">
        <f t="shared" si="3"/>
        <v>3.39</v>
      </c>
    </row>
    <row r="22" spans="1:7">
      <c r="A22" s="12">
        <f>COUNTIF(E$2:E22,E22)</f>
        <v>1</v>
      </c>
      <c r="B22" s="12">
        <v>3</v>
      </c>
      <c r="C22" s="12" t="str">
        <f t="shared" si="1"/>
        <v>James Chiriano1</v>
      </c>
      <c r="D22" s="12">
        <v>4</v>
      </c>
      <c r="E22" t="str">
        <f>+'Stage Entry'!W6</f>
        <v>James Chiriano</v>
      </c>
      <c r="F22" s="119">
        <f>+'Stage Entry'!X6</f>
        <v>9.8611111111111104E-3</v>
      </c>
      <c r="G22" s="13">
        <f t="shared" si="3"/>
        <v>3.39</v>
      </c>
    </row>
    <row r="23" spans="1:7">
      <c r="A23" s="12">
        <f>COUNTIF(E$2:E23,E23)</f>
        <v>1</v>
      </c>
      <c r="B23" s="12">
        <v>4</v>
      </c>
      <c r="C23" s="12" t="str">
        <f t="shared" si="1"/>
        <v>Ross Prickett1</v>
      </c>
      <c r="D23" s="12">
        <v>4</v>
      </c>
      <c r="E23" t="str">
        <f>+'Stage Entry'!W7</f>
        <v>Ross Prickett</v>
      </c>
      <c r="F23" s="119">
        <f>+'Stage Entry'!X7</f>
        <v>9.9537037037037042E-3</v>
      </c>
      <c r="G23" s="13">
        <f t="shared" si="3"/>
        <v>3.39</v>
      </c>
    </row>
    <row r="24" spans="1:7">
      <c r="A24" s="12">
        <f>COUNTIF(E$2:E24,E24)</f>
        <v>1</v>
      </c>
      <c r="B24" s="12">
        <v>5</v>
      </c>
      <c r="C24" s="12" t="str">
        <f t="shared" si="1"/>
        <v>Martin Duchovny1</v>
      </c>
      <c r="D24" s="12">
        <v>4</v>
      </c>
      <c r="E24" t="str">
        <f>+'Stage Entry'!W8</f>
        <v>Martin Duchovny</v>
      </c>
      <c r="F24" s="119">
        <f>+'Stage Entry'!X8</f>
        <v>1.0104166666666668E-2</v>
      </c>
      <c r="G24" s="13">
        <f t="shared" si="3"/>
        <v>3.39</v>
      </c>
    </row>
    <row r="25" spans="1:7">
      <c r="A25" s="12">
        <f>COUNTIF(E$2:E25,E25)</f>
        <v>1</v>
      </c>
      <c r="B25" s="12">
        <v>6</v>
      </c>
      <c r="C25" s="12" t="str">
        <f t="shared" si="1"/>
        <v>Rory Heddles1</v>
      </c>
      <c r="D25" s="12">
        <v>4</v>
      </c>
      <c r="E25" t="str">
        <f>+'Stage Entry'!W9</f>
        <v>Rory Heddles</v>
      </c>
      <c r="F25" s="119">
        <f>+'Stage Entry'!X9</f>
        <v>9.6874999999999999E-3</v>
      </c>
      <c r="G25" s="13">
        <f t="shared" si="3"/>
        <v>3.39</v>
      </c>
    </row>
    <row r="26" spans="1:7">
      <c r="A26" s="12">
        <f>COUNTIF(E$2:E26,E26)</f>
        <v>2</v>
      </c>
      <c r="B26" s="12">
        <v>1</v>
      </c>
      <c r="C26" s="12" t="str">
        <f t="shared" si="1"/>
        <v>Glenn Goodman2</v>
      </c>
      <c r="D26" s="12">
        <v>5</v>
      </c>
      <c r="E26" t="str">
        <f>+'Stage Entry'!AB4</f>
        <v>Glenn Goodman</v>
      </c>
      <c r="F26" s="119">
        <f>+'Stage Entry'!AC4</f>
        <v>1.2569444444444446E-2</v>
      </c>
      <c r="G26" s="13">
        <f t="shared" ref="G26:G31" si="4">+Dist4</f>
        <v>4</v>
      </c>
    </row>
    <row r="27" spans="1:7">
      <c r="A27" s="12">
        <f>COUNTIF(E$2:E27,E27)</f>
        <v>2</v>
      </c>
      <c r="B27" s="12">
        <v>2</v>
      </c>
      <c r="C27" s="12" t="str">
        <f t="shared" si="1"/>
        <v>Tony Hally2</v>
      </c>
      <c r="D27" s="12">
        <v>5</v>
      </c>
      <c r="E27" t="str">
        <f>+'Stage Entry'!AB5</f>
        <v>Tony Hally</v>
      </c>
      <c r="F27" s="119">
        <f>+'Stage Entry'!AC5</f>
        <v>1.2638888888888889E-2</v>
      </c>
      <c r="G27" s="13">
        <f t="shared" si="4"/>
        <v>4</v>
      </c>
    </row>
    <row r="28" spans="1:7">
      <c r="A28" s="12">
        <f>COUNTIF(E$2:E28,E28)</f>
        <v>2</v>
      </c>
      <c r="B28" s="12">
        <v>3</v>
      </c>
      <c r="C28" s="12" t="str">
        <f t="shared" si="1"/>
        <v>Mark Stodden2</v>
      </c>
      <c r="D28" s="12">
        <v>5</v>
      </c>
      <c r="E28" t="str">
        <f>+'Stage Entry'!AB6</f>
        <v>Mark Stodden</v>
      </c>
      <c r="F28" s="119">
        <f>+'Stage Entry'!AC6</f>
        <v>1.1701388888888891E-2</v>
      </c>
      <c r="G28" s="13">
        <f t="shared" si="4"/>
        <v>4</v>
      </c>
    </row>
    <row r="29" spans="1:7">
      <c r="A29" s="12">
        <f>COUNTIF(E$2:E29,E29)</f>
        <v>2</v>
      </c>
      <c r="B29" s="12">
        <v>4</v>
      </c>
      <c r="C29" s="12" t="str">
        <f t="shared" si="1"/>
        <v>Simon Bevege2</v>
      </c>
      <c r="D29" s="12">
        <v>5</v>
      </c>
      <c r="E29" t="str">
        <f>+'Stage Entry'!AB7</f>
        <v>Simon Bevege</v>
      </c>
      <c r="F29" s="119">
        <f>+'Stage Entry'!AC7</f>
        <v>1.0671296296296297E-2</v>
      </c>
      <c r="G29" s="13">
        <f t="shared" si="4"/>
        <v>4</v>
      </c>
    </row>
    <row r="30" spans="1:7">
      <c r="A30" s="12">
        <f>COUNTIF(E$2:E30,E30)</f>
        <v>2</v>
      </c>
      <c r="B30" s="12">
        <v>5</v>
      </c>
      <c r="C30" s="12" t="str">
        <f t="shared" si="1"/>
        <v>David Venour2</v>
      </c>
      <c r="D30" s="12">
        <v>5</v>
      </c>
      <c r="E30" t="str">
        <f>+'Stage Entry'!AB8</f>
        <v>David Venour</v>
      </c>
      <c r="F30" s="119">
        <f>+'Stage Entry'!AC8</f>
        <v>1.0868055555555556E-2</v>
      </c>
      <c r="G30" s="13">
        <f t="shared" si="4"/>
        <v>4</v>
      </c>
    </row>
    <row r="31" spans="1:7">
      <c r="A31" s="12">
        <f>COUNTIF(E$2:E31,E31)</f>
        <v>2</v>
      </c>
      <c r="B31" s="12">
        <v>6</v>
      </c>
      <c r="C31" s="12" t="str">
        <f t="shared" si="1"/>
        <v>Richard Does2</v>
      </c>
      <c r="D31" s="12">
        <v>5</v>
      </c>
      <c r="E31" t="str">
        <f>+'Stage Entry'!AB9</f>
        <v>Richard Does</v>
      </c>
      <c r="F31" s="119">
        <f>+'Stage Entry'!AC9</f>
        <v>1.119212962962963E-2</v>
      </c>
      <c r="G31" s="13">
        <f t="shared" si="4"/>
        <v>4</v>
      </c>
    </row>
    <row r="32" spans="1:7">
      <c r="A32" s="12">
        <f>COUNTIF(E$2:E32,E32)</f>
        <v>2</v>
      </c>
      <c r="B32" s="12">
        <v>1</v>
      </c>
      <c r="C32" s="12" t="str">
        <f t="shared" si="1"/>
        <v>David Mellings2</v>
      </c>
      <c r="D32" s="12">
        <v>6</v>
      </c>
      <c r="E32" t="str">
        <f>+'Stage Entry'!AG4</f>
        <v>David Mellings</v>
      </c>
      <c r="F32" s="119">
        <f>+'Stage Entry'!AH4</f>
        <v>1.0694444444444444E-2</v>
      </c>
      <c r="G32" s="13">
        <f t="shared" ref="G32:G37" si="5">+Dist5</f>
        <v>4.2699999999999996</v>
      </c>
    </row>
    <row r="33" spans="1:7">
      <c r="A33" s="12">
        <f>COUNTIF(E$2:E33,E33)</f>
        <v>2</v>
      </c>
      <c r="B33" s="12">
        <v>2</v>
      </c>
      <c r="C33" s="12" t="str">
        <f t="shared" si="1"/>
        <v>Kate Seibold2</v>
      </c>
      <c r="D33" s="12">
        <v>6</v>
      </c>
      <c r="E33" t="str">
        <f>+'Stage Entry'!AG5</f>
        <v>Kate Seibold</v>
      </c>
      <c r="F33" s="119">
        <f>+'Stage Entry'!AH5</f>
        <v>1.1041666666666667E-2</v>
      </c>
      <c r="G33" s="13">
        <f t="shared" si="5"/>
        <v>4.2699999999999996</v>
      </c>
    </row>
    <row r="34" spans="1:7">
      <c r="A34" s="12">
        <f>COUNTIF(E$2:E34,E34)</f>
        <v>2</v>
      </c>
      <c r="B34" s="12">
        <v>3</v>
      </c>
      <c r="C34" s="12" t="str">
        <f t="shared" si="1"/>
        <v>Ewen Vowels2</v>
      </c>
      <c r="D34" s="12">
        <v>6</v>
      </c>
      <c r="E34" t="str">
        <f>+'Stage Entry'!AG6</f>
        <v>Ewen Vowels</v>
      </c>
      <c r="F34" s="119">
        <f>+'Stage Entry'!AH6</f>
        <v>1.0497685185185186E-2</v>
      </c>
      <c r="G34" s="13">
        <f t="shared" si="5"/>
        <v>4.2699999999999996</v>
      </c>
    </row>
    <row r="35" spans="1:7">
      <c r="A35" s="12">
        <f>COUNTIF(E$2:E35,E35)</f>
        <v>2</v>
      </c>
      <c r="B35" s="12">
        <v>4</v>
      </c>
      <c r="C35" s="12" t="str">
        <f t="shared" si="1"/>
        <v>Dale Nardella2</v>
      </c>
      <c r="D35" s="12">
        <v>6</v>
      </c>
      <c r="E35" t="str">
        <f>+'Stage Entry'!AG7</f>
        <v>Dale Nardella</v>
      </c>
      <c r="F35" s="119">
        <f>+'Stage Entry'!AH7</f>
        <v>1.1076388888888887E-2</v>
      </c>
      <c r="G35" s="13">
        <f t="shared" si="5"/>
        <v>4.2699999999999996</v>
      </c>
    </row>
    <row r="36" spans="1:7">
      <c r="A36" s="12">
        <f>COUNTIF(E$2:E36,E36)</f>
        <v>2</v>
      </c>
      <c r="B36" s="12">
        <v>5</v>
      </c>
      <c r="C36" s="12" t="str">
        <f t="shared" si="1"/>
        <v>Chris Osborne2</v>
      </c>
      <c r="D36" s="12">
        <v>6</v>
      </c>
      <c r="E36" t="str">
        <f>+'Stage Entry'!AG8</f>
        <v>Chris Osborne</v>
      </c>
      <c r="F36" s="119">
        <f>+'Stage Entry'!AH8</f>
        <v>1.1226851851851854E-2</v>
      </c>
      <c r="G36" s="13">
        <f t="shared" si="5"/>
        <v>4.2699999999999996</v>
      </c>
    </row>
    <row r="37" spans="1:7">
      <c r="A37" s="12">
        <f>COUNTIF(E$2:E37,E37)</f>
        <v>2</v>
      </c>
      <c r="B37" s="12">
        <v>6</v>
      </c>
      <c r="C37" s="12" t="str">
        <f t="shared" si="1"/>
        <v>Robyn Millard2</v>
      </c>
      <c r="D37" s="12">
        <v>6</v>
      </c>
      <c r="E37" t="str">
        <f>+'Stage Entry'!AG9</f>
        <v>Robyn Millard</v>
      </c>
      <c r="F37" s="119">
        <f>+'Stage Entry'!AH9</f>
        <v>1.1400462962962965E-2</v>
      </c>
      <c r="G37" s="13">
        <f t="shared" si="5"/>
        <v>4.2699999999999996</v>
      </c>
    </row>
    <row r="38" spans="1:7">
      <c r="A38" s="12">
        <f>COUNTIF(E$2:E38,E38)</f>
        <v>2</v>
      </c>
      <c r="B38" s="12">
        <v>1</v>
      </c>
      <c r="C38" s="12" t="str">
        <f t="shared" si="1"/>
        <v>Andrew Coles2</v>
      </c>
      <c r="D38" s="12">
        <v>7</v>
      </c>
      <c r="E38" t="str">
        <f>+'Stage Entry'!AL4</f>
        <v>Andrew Coles</v>
      </c>
      <c r="F38" s="119">
        <f>+'Stage Entry'!AM4</f>
        <v>1.0138888888888888E-2</v>
      </c>
      <c r="G38" s="13">
        <f t="shared" ref="G38:G43" si="6">+Dist6</f>
        <v>4.6399999999999997</v>
      </c>
    </row>
    <row r="39" spans="1:7">
      <c r="A39" s="12">
        <f>COUNTIF(E$2:E39,E39)</f>
        <v>2</v>
      </c>
      <c r="B39" s="12">
        <v>2</v>
      </c>
      <c r="C39" s="12" t="str">
        <f t="shared" si="1"/>
        <v>Joji Mori2</v>
      </c>
      <c r="D39" s="12">
        <v>7</v>
      </c>
      <c r="E39" t="str">
        <f>+'Stage Entry'!AL5</f>
        <v>Joji Mori</v>
      </c>
      <c r="F39" s="119">
        <f>+'Stage Entry'!AM5</f>
        <v>1.0081018518518519E-2</v>
      </c>
      <c r="G39" s="13">
        <f t="shared" si="6"/>
        <v>4.6399999999999997</v>
      </c>
    </row>
    <row r="40" spans="1:7">
      <c r="A40" s="12">
        <f>COUNTIF(E$2:E40,E40)</f>
        <v>2</v>
      </c>
      <c r="B40" s="12">
        <v>3</v>
      </c>
      <c r="C40" s="12" t="str">
        <f t="shared" si="1"/>
        <v>Paul Munro2</v>
      </c>
      <c r="D40" s="12">
        <v>7</v>
      </c>
      <c r="E40" t="str">
        <f>+'Stage Entry'!AL6</f>
        <v>Paul Munro</v>
      </c>
      <c r="F40" s="119">
        <f>+'Stage Entry'!AM6</f>
        <v>1.0115740740740741E-2</v>
      </c>
      <c r="G40" s="13">
        <f t="shared" si="6"/>
        <v>4.6399999999999997</v>
      </c>
    </row>
    <row r="41" spans="1:7">
      <c r="A41" s="12">
        <f>COUNTIF(E$2:E41,E41)</f>
        <v>2</v>
      </c>
      <c r="B41" s="12">
        <v>4</v>
      </c>
      <c r="C41" s="12" t="str">
        <f t="shared" si="1"/>
        <v>Anthony Mithen2</v>
      </c>
      <c r="D41" s="12">
        <v>7</v>
      </c>
      <c r="E41" t="str">
        <f>+'Stage Entry'!AL7</f>
        <v>Anthony Mithen</v>
      </c>
      <c r="F41" s="119">
        <f>+'Stage Entry'!AM7</f>
        <v>1.1412037037037038E-2</v>
      </c>
      <c r="G41" s="13">
        <f t="shared" si="6"/>
        <v>4.6399999999999997</v>
      </c>
    </row>
    <row r="42" spans="1:7">
      <c r="A42" s="12">
        <f>COUNTIF(E$2:E42,E42)</f>
        <v>2</v>
      </c>
      <c r="B42" s="12">
        <v>5</v>
      </c>
      <c r="C42" s="12" t="str">
        <f t="shared" si="1"/>
        <v>Glenn Carroll2</v>
      </c>
      <c r="D42" s="12">
        <v>7</v>
      </c>
      <c r="E42" t="str">
        <f>+'Stage Entry'!AL8</f>
        <v>Glenn Carroll</v>
      </c>
      <c r="F42" s="119">
        <f>+'Stage Entry'!AM8</f>
        <v>1.0949074074074075E-2</v>
      </c>
      <c r="G42" s="13">
        <f t="shared" si="6"/>
        <v>4.6399999999999997</v>
      </c>
    </row>
    <row r="43" spans="1:7">
      <c r="A43" s="12">
        <f>COUNTIF(E$2:E43,E43)</f>
        <v>2</v>
      </c>
      <c r="B43" s="12">
        <v>6</v>
      </c>
      <c r="C43" s="12" t="str">
        <f t="shared" si="1"/>
        <v>Stephen Paine2</v>
      </c>
      <c r="D43" s="12">
        <v>7</v>
      </c>
      <c r="E43" t="str">
        <f>+'Stage Entry'!AL9</f>
        <v>Stephen Paine</v>
      </c>
      <c r="F43" s="119">
        <f>+'Stage Entry'!AM9</f>
        <v>1.0694444444444444E-2</v>
      </c>
      <c r="G43" s="13">
        <f t="shared" si="6"/>
        <v>4.6399999999999997</v>
      </c>
    </row>
    <row r="44" spans="1:7">
      <c r="A44" s="12">
        <f>COUNTIF(E$2:E44,E44)</f>
        <v>2</v>
      </c>
      <c r="B44" s="12">
        <v>1</v>
      </c>
      <c r="C44" s="12" t="str">
        <f t="shared" si="1"/>
        <v>Franky Reid2</v>
      </c>
      <c r="D44" s="12">
        <v>8</v>
      </c>
      <c r="E44" t="str">
        <f>+'Stage Entry'!AQ4</f>
        <v>Franky Reid</v>
      </c>
      <c r="F44" s="119">
        <f>+'Stage Entry'!AR4</f>
        <v>1.503472222222222E-2</v>
      </c>
      <c r="G44" s="13">
        <f t="shared" ref="G44:G49" si="7">+Dist7</f>
        <v>3.67</v>
      </c>
    </row>
    <row r="45" spans="1:7">
      <c r="A45" s="12">
        <f>COUNTIF(E$2:E45,E45)</f>
        <v>2</v>
      </c>
      <c r="B45" s="12">
        <v>2</v>
      </c>
      <c r="C45" s="12" t="str">
        <f t="shared" si="1"/>
        <v>Robyn Fletcher2</v>
      </c>
      <c r="D45" s="12">
        <v>8</v>
      </c>
      <c r="E45" t="str">
        <f>+'Stage Entry'!AQ5</f>
        <v>Robyn Fletcher</v>
      </c>
      <c r="F45" s="119">
        <f>+'Stage Entry'!AR5</f>
        <v>1.292824074074074E-2</v>
      </c>
      <c r="G45" s="13">
        <f t="shared" si="7"/>
        <v>3.67</v>
      </c>
    </row>
    <row r="46" spans="1:7">
      <c r="A46" s="12">
        <f>COUNTIF(E$2:E46,E46)</f>
        <v>2</v>
      </c>
      <c r="B46" s="12">
        <v>3</v>
      </c>
      <c r="C46" s="12" t="str">
        <f t="shared" si="1"/>
        <v>James Chiriano2</v>
      </c>
      <c r="D46" s="12">
        <v>8</v>
      </c>
      <c r="E46" t="str">
        <f>+'Stage Entry'!AQ6</f>
        <v>James Chiriano</v>
      </c>
      <c r="F46" s="119">
        <f>+'Stage Entry'!AR6</f>
        <v>1.091435185185185E-2</v>
      </c>
      <c r="G46" s="13">
        <f t="shared" si="7"/>
        <v>3.67</v>
      </c>
    </row>
    <row r="47" spans="1:7">
      <c r="A47" s="12">
        <f>COUNTIF(E$2:E47,E47)</f>
        <v>2</v>
      </c>
      <c r="B47" s="12">
        <v>4</v>
      </c>
      <c r="C47" s="12" t="str">
        <f t="shared" si="1"/>
        <v>Ross Prickett2</v>
      </c>
      <c r="D47" s="12">
        <v>8</v>
      </c>
      <c r="E47" t="str">
        <f>+'Stage Entry'!AQ7</f>
        <v>Ross Prickett</v>
      </c>
      <c r="F47" s="119">
        <f>+'Stage Entry'!AR7</f>
        <v>1.0972222222222223E-2</v>
      </c>
      <c r="G47" s="13">
        <f t="shared" si="7"/>
        <v>3.67</v>
      </c>
    </row>
    <row r="48" spans="1:7">
      <c r="A48" s="12">
        <f>COUNTIF(E$2:E48,E48)</f>
        <v>2</v>
      </c>
      <c r="B48" s="12">
        <v>5</v>
      </c>
      <c r="C48" s="12" t="str">
        <f t="shared" si="1"/>
        <v>Martin Duchovny2</v>
      </c>
      <c r="D48" s="12">
        <v>8</v>
      </c>
      <c r="E48" t="str">
        <f>+'Stage Entry'!AQ8</f>
        <v>Martin Duchovny</v>
      </c>
      <c r="F48" s="119">
        <f>+'Stage Entry'!AR8</f>
        <v>1.119212962962963E-2</v>
      </c>
      <c r="G48" s="13">
        <f t="shared" si="7"/>
        <v>3.67</v>
      </c>
    </row>
    <row r="49" spans="1:7">
      <c r="A49" s="12">
        <f>COUNTIF(E$2:E49,E49)</f>
        <v>2</v>
      </c>
      <c r="B49" s="12">
        <v>6</v>
      </c>
      <c r="C49" s="12" t="str">
        <f t="shared" si="1"/>
        <v>Rory Heddles2</v>
      </c>
      <c r="D49" s="12">
        <v>8</v>
      </c>
      <c r="E49" t="str">
        <f>+'Stage Entry'!AQ9</f>
        <v>Rory Heddles</v>
      </c>
      <c r="F49" s="119">
        <f>+'Stage Entry'!AR9</f>
        <v>1.0659722222222221E-2</v>
      </c>
      <c r="G49" s="13">
        <f t="shared" si="7"/>
        <v>3.67</v>
      </c>
    </row>
    <row r="50" spans="1:7">
      <c r="A50" s="12">
        <f>COUNTIF(E$2:E50,E50)</f>
        <v>3</v>
      </c>
      <c r="B50" s="12">
        <v>1</v>
      </c>
      <c r="C50" s="12" t="str">
        <f t="shared" si="1"/>
        <v>David Mellings3</v>
      </c>
      <c r="D50" s="12">
        <v>9</v>
      </c>
      <c r="E50" t="str">
        <f>+'Stage Entry'!H13</f>
        <v>David Mellings</v>
      </c>
      <c r="F50" s="119">
        <f>+'Stage Entry'!I13</f>
        <v>1.0694444444444444E-2</v>
      </c>
      <c r="G50" s="13">
        <f t="shared" ref="G50:G55" si="8">+Dist8</f>
        <v>3.66</v>
      </c>
    </row>
    <row r="51" spans="1:7">
      <c r="A51" s="12">
        <f>COUNTIF(E$2:E51,E51)</f>
        <v>3</v>
      </c>
      <c r="B51" s="12">
        <v>2</v>
      </c>
      <c r="C51" s="12" t="str">
        <f t="shared" si="1"/>
        <v>Kate Seibold3</v>
      </c>
      <c r="D51" s="12">
        <v>9</v>
      </c>
      <c r="E51" t="str">
        <f>+'Stage Entry'!H14</f>
        <v>Kate Seibold</v>
      </c>
      <c r="F51" s="119">
        <f>+'Stage Entry'!I14</f>
        <v>1.0115740740740741E-2</v>
      </c>
      <c r="G51" s="13">
        <f t="shared" si="8"/>
        <v>3.66</v>
      </c>
    </row>
    <row r="52" spans="1:7">
      <c r="A52" s="12">
        <f>COUNTIF(E$2:E52,E52)</f>
        <v>3</v>
      </c>
      <c r="B52" s="12">
        <v>3</v>
      </c>
      <c r="C52" s="12" t="str">
        <f t="shared" si="1"/>
        <v>Mark Stodden3</v>
      </c>
      <c r="D52" s="12">
        <v>9</v>
      </c>
      <c r="E52" t="str">
        <f>+'Stage Entry'!H15</f>
        <v>Mark Stodden</v>
      </c>
      <c r="F52" s="119">
        <f>+'Stage Entry'!I15</f>
        <v>1.0381944444444444E-2</v>
      </c>
      <c r="G52" s="13">
        <f t="shared" si="8"/>
        <v>3.66</v>
      </c>
    </row>
    <row r="53" spans="1:7">
      <c r="A53" s="12">
        <f>COUNTIF(E$2:E53,E53)</f>
        <v>3</v>
      </c>
      <c r="B53" s="12">
        <v>4</v>
      </c>
      <c r="C53" s="12" t="str">
        <f t="shared" si="1"/>
        <v>Dale Nardella3</v>
      </c>
      <c r="D53" s="12">
        <v>9</v>
      </c>
      <c r="E53" t="str">
        <f>+'Stage Entry'!H16</f>
        <v>Dale Nardella</v>
      </c>
      <c r="F53" s="119">
        <f>+'Stage Entry'!I16</f>
        <v>1.1261574074074071E-2</v>
      </c>
      <c r="G53" s="13">
        <f t="shared" si="8"/>
        <v>3.66</v>
      </c>
    </row>
    <row r="54" spans="1:7">
      <c r="A54" s="12">
        <f>COUNTIF(E$2:E54,E54)</f>
        <v>3</v>
      </c>
      <c r="B54" s="12">
        <v>5</v>
      </c>
      <c r="C54" s="12" t="str">
        <f t="shared" si="1"/>
        <v>Glenn Carroll3</v>
      </c>
      <c r="D54" s="12">
        <v>9</v>
      </c>
      <c r="E54" t="str">
        <f>+'Stage Entry'!H17</f>
        <v>Glenn Carroll</v>
      </c>
      <c r="F54" s="119">
        <f>+'Stage Entry'!I17</f>
        <v>1.0277777777777778E-2</v>
      </c>
      <c r="G54" s="13">
        <f t="shared" si="8"/>
        <v>3.66</v>
      </c>
    </row>
    <row r="55" spans="1:7">
      <c r="A55" s="12">
        <f>COUNTIF(E$2:E55,E55)</f>
        <v>3</v>
      </c>
      <c r="B55" s="12">
        <v>6</v>
      </c>
      <c r="C55" s="12" t="str">
        <f t="shared" si="1"/>
        <v>Richard Does3</v>
      </c>
      <c r="D55" s="12">
        <v>9</v>
      </c>
      <c r="E55" t="str">
        <f>+'Stage Entry'!H18</f>
        <v>Richard Does</v>
      </c>
      <c r="F55" s="119">
        <f>+'Stage Entry'!I18</f>
        <v>9.8032407407407408E-3</v>
      </c>
      <c r="G55" s="13">
        <f t="shared" si="8"/>
        <v>3.66</v>
      </c>
    </row>
    <row r="56" spans="1:7">
      <c r="A56" s="12">
        <f>COUNTIF(E$2:E56,E56)</f>
        <v>3</v>
      </c>
      <c r="B56" s="12">
        <v>1</v>
      </c>
      <c r="C56" s="12" t="str">
        <f t="shared" si="1"/>
        <v>Franky Reid3</v>
      </c>
      <c r="D56" s="12">
        <v>10</v>
      </c>
      <c r="E56" t="str">
        <f>+'Stage Entry'!M13</f>
        <v>Franky Reid</v>
      </c>
      <c r="F56" s="119">
        <f>+'Stage Entry'!N13</f>
        <v>1.34375E-2</v>
      </c>
      <c r="G56" s="13">
        <f>'Stage Entry'!$N$11</f>
        <v>3.25</v>
      </c>
    </row>
    <row r="57" spans="1:7">
      <c r="A57" s="12">
        <f>COUNTIF(E$2:E57,E57)</f>
        <v>3</v>
      </c>
      <c r="B57" s="12">
        <v>2</v>
      </c>
      <c r="C57" s="12" t="str">
        <f t="shared" si="1"/>
        <v>Robyn Fletcher3</v>
      </c>
      <c r="D57" s="12">
        <v>10</v>
      </c>
      <c r="E57" t="str">
        <f>+'Stage Entry'!M14</f>
        <v>Robyn Fletcher</v>
      </c>
      <c r="F57" s="119">
        <f>+'Stage Entry'!N14</f>
        <v>1.087962962962963E-2</v>
      </c>
      <c r="G57" s="13">
        <f>'Stage Entry'!$N$11</f>
        <v>3.25</v>
      </c>
    </row>
    <row r="58" spans="1:7">
      <c r="A58" s="12">
        <f>COUNTIF(E$2:E58,E58)</f>
        <v>3</v>
      </c>
      <c r="B58" s="12">
        <v>3</v>
      </c>
      <c r="C58" s="12" t="str">
        <f t="shared" ref="C58:C97" si="9">E58&amp;A58</f>
        <v>James Chiriano3</v>
      </c>
      <c r="D58" s="12">
        <v>10</v>
      </c>
      <c r="E58" t="str">
        <f>+'Stage Entry'!M15</f>
        <v>James Chiriano</v>
      </c>
      <c r="F58" s="119">
        <f>+'Stage Entry'!N15</f>
        <v>9.8148148148148144E-3</v>
      </c>
      <c r="G58" s="13">
        <f>'Stage Entry'!$N$11</f>
        <v>3.25</v>
      </c>
    </row>
    <row r="59" spans="1:7">
      <c r="A59" s="12">
        <f>COUNTIF(E$2:E59,E59)</f>
        <v>3</v>
      </c>
      <c r="B59" s="12">
        <v>4</v>
      </c>
      <c r="C59" s="12" t="str">
        <f t="shared" si="9"/>
        <v>Ross Prickett3</v>
      </c>
      <c r="D59" s="12">
        <v>10</v>
      </c>
      <c r="E59" t="str">
        <f>+'Stage Entry'!M16</f>
        <v>Ross Prickett</v>
      </c>
      <c r="F59" s="119">
        <f>+'Stage Entry'!N16</f>
        <v>1.0069444444444445E-2</v>
      </c>
      <c r="G59" s="13">
        <f>'Stage Entry'!$N$11</f>
        <v>3.25</v>
      </c>
    </row>
    <row r="60" spans="1:7">
      <c r="A60" s="12">
        <f>COUNTIF(E$2:E60,E60)</f>
        <v>3</v>
      </c>
      <c r="B60" s="12">
        <v>5</v>
      </c>
      <c r="C60" s="12" t="str">
        <f t="shared" si="9"/>
        <v>Martin Duchovny3</v>
      </c>
      <c r="D60" s="12">
        <v>10</v>
      </c>
      <c r="E60" t="str">
        <f>+'Stage Entry'!M17</f>
        <v>Martin Duchovny</v>
      </c>
      <c r="F60" s="119">
        <f>+'Stage Entry'!N17</f>
        <v>1.0439814814814813E-2</v>
      </c>
      <c r="G60" s="13">
        <f>'Stage Entry'!$N$11</f>
        <v>3.25</v>
      </c>
    </row>
    <row r="61" spans="1:7">
      <c r="A61" s="12">
        <f>COUNTIF(E$2:E61,E61)</f>
        <v>3</v>
      </c>
      <c r="B61" s="12">
        <v>6</v>
      </c>
      <c r="C61" s="12" t="str">
        <f t="shared" si="9"/>
        <v>Rory Heddles3</v>
      </c>
      <c r="D61" s="12">
        <v>10</v>
      </c>
      <c r="E61" t="str">
        <f>+'Stage Entry'!M18</f>
        <v>Rory Heddles</v>
      </c>
      <c r="F61" s="119">
        <f>+'Stage Entry'!N18</f>
        <v>9.6874999999999999E-3</v>
      </c>
      <c r="G61" s="13">
        <f>'Stage Entry'!$N$11</f>
        <v>3.25</v>
      </c>
    </row>
    <row r="62" spans="1:7">
      <c r="A62" s="12">
        <f>COUNTIF(E$2:E62,E62)</f>
        <v>3</v>
      </c>
      <c r="B62" s="12">
        <v>1</v>
      </c>
      <c r="C62" s="12" t="str">
        <f t="shared" si="9"/>
        <v>Glenn Goodman3</v>
      </c>
      <c r="D62" s="12">
        <v>11</v>
      </c>
      <c r="E62" t="str">
        <f>+'Stage Entry'!R13</f>
        <v>Glenn Goodman</v>
      </c>
      <c r="F62" s="119">
        <f>+'Stage Entry'!S13</f>
        <v>1.0405092592592593E-2</v>
      </c>
      <c r="G62" s="13">
        <f t="shared" ref="G62:G67" si="10">+Dist9</f>
        <v>3.47</v>
      </c>
    </row>
    <row r="63" spans="1:7">
      <c r="A63" s="12">
        <f>COUNTIF(E$2:E63,E63)</f>
        <v>3</v>
      </c>
      <c r="B63" s="12">
        <v>2</v>
      </c>
      <c r="C63" s="12" t="str">
        <f t="shared" si="9"/>
        <v>Tony Hally3</v>
      </c>
      <c r="D63" s="12">
        <v>11</v>
      </c>
      <c r="E63" t="str">
        <f>+'Stage Entry'!R14</f>
        <v>Tony Hally</v>
      </c>
      <c r="F63" s="119">
        <f>+'Stage Entry'!S14</f>
        <v>1.0081018518518519E-2</v>
      </c>
      <c r="G63" s="13">
        <f t="shared" si="10"/>
        <v>3.47</v>
      </c>
    </row>
    <row r="64" spans="1:7">
      <c r="A64" s="12">
        <f>COUNTIF(E$2:E64,E64)</f>
        <v>3</v>
      </c>
      <c r="B64" s="12">
        <v>3</v>
      </c>
      <c r="C64" s="12" t="str">
        <f t="shared" si="9"/>
        <v>Ewen Vowels3</v>
      </c>
      <c r="D64" s="12">
        <v>11</v>
      </c>
      <c r="E64" t="str">
        <f>+'Stage Entry'!R15</f>
        <v>Ewen Vowels</v>
      </c>
      <c r="F64" s="119">
        <f>+'Stage Entry'!S15</f>
        <v>1.0011574074074074E-2</v>
      </c>
      <c r="G64" s="13">
        <f t="shared" si="10"/>
        <v>3.47</v>
      </c>
    </row>
    <row r="65" spans="1:7">
      <c r="A65" s="12">
        <f>COUNTIF(E$2:E65,E65)</f>
        <v>4</v>
      </c>
      <c r="B65" s="12">
        <v>4</v>
      </c>
      <c r="C65" s="12" t="str">
        <f t="shared" si="9"/>
        <v>Dale Nardella4</v>
      </c>
      <c r="D65" s="12">
        <v>11</v>
      </c>
      <c r="E65" t="str">
        <f>+'Stage Entry'!R16</f>
        <v>Dale Nardella</v>
      </c>
      <c r="F65" s="119">
        <f>+'Stage Entry'!S16</f>
        <v>1.0439814814814813E-2</v>
      </c>
      <c r="G65" s="13">
        <f t="shared" si="10"/>
        <v>3.47</v>
      </c>
    </row>
    <row r="66" spans="1:7">
      <c r="A66" s="12">
        <f>COUNTIF(E$2:E66,E66)</f>
        <v>3</v>
      </c>
      <c r="B66" s="12">
        <v>5</v>
      </c>
      <c r="C66" s="12" t="str">
        <f t="shared" si="9"/>
        <v>Chris Osborne3</v>
      </c>
      <c r="D66" s="12">
        <v>11</v>
      </c>
      <c r="E66" t="str">
        <f>+'Stage Entry'!R17</f>
        <v>Chris Osborne</v>
      </c>
      <c r="F66" s="119">
        <f>+'Stage Entry'!S17</f>
        <v>1.0300925925925927E-2</v>
      </c>
      <c r="G66" s="13">
        <f t="shared" si="10"/>
        <v>3.47</v>
      </c>
    </row>
    <row r="67" spans="1:7">
      <c r="A67" s="12">
        <f>COUNTIF(E$2:E67,E67)</f>
        <v>3</v>
      </c>
      <c r="B67" s="12">
        <v>6</v>
      </c>
      <c r="C67" s="12" t="str">
        <f t="shared" si="9"/>
        <v>Robyn Millard3</v>
      </c>
      <c r="D67" s="12">
        <v>11</v>
      </c>
      <c r="E67" t="str">
        <f>+'Stage Entry'!R18</f>
        <v>Robyn Millard</v>
      </c>
      <c r="F67" s="119">
        <f>+'Stage Entry'!S18</f>
        <v>1.0902777777777777E-2</v>
      </c>
      <c r="G67" s="13">
        <f t="shared" si="10"/>
        <v>3.47</v>
      </c>
    </row>
    <row r="68" spans="1:7">
      <c r="A68" s="12">
        <f>COUNTIF(E$2:E68,E68)</f>
        <v>3</v>
      </c>
      <c r="B68" s="12">
        <v>1</v>
      </c>
      <c r="C68" s="12" t="str">
        <f t="shared" si="9"/>
        <v>Andrew Coles3</v>
      </c>
      <c r="D68" s="12">
        <v>12</v>
      </c>
      <c r="E68" t="str">
        <f>+'Stage Entry'!W13</f>
        <v>Andrew Coles</v>
      </c>
      <c r="F68" s="119">
        <f>+'Stage Entry'!X13</f>
        <v>1.0462962962962964E-2</v>
      </c>
      <c r="G68" s="13">
        <f t="shared" ref="G68:G73" si="11">+Dist10</f>
        <v>4.5</v>
      </c>
    </row>
    <row r="69" spans="1:7">
      <c r="A69" s="12">
        <f>COUNTIF(E$2:E69,E69)</f>
        <v>3</v>
      </c>
      <c r="B69" s="12">
        <v>2</v>
      </c>
      <c r="C69" s="12" t="str">
        <f t="shared" si="9"/>
        <v>Joji Mori3</v>
      </c>
      <c r="D69" s="12">
        <v>12</v>
      </c>
      <c r="E69" t="str">
        <f>+'Stage Entry'!W14</f>
        <v>Joji Mori</v>
      </c>
      <c r="F69" s="119">
        <f>+'Stage Entry'!X14</f>
        <v>1.0405092592592593E-2</v>
      </c>
      <c r="G69" s="13">
        <f t="shared" si="11"/>
        <v>4.5</v>
      </c>
    </row>
    <row r="70" spans="1:7">
      <c r="A70" s="12">
        <f>COUNTIF(E$2:E70,E70)</f>
        <v>3</v>
      </c>
      <c r="B70" s="12">
        <v>3</v>
      </c>
      <c r="C70" s="12" t="str">
        <f t="shared" si="9"/>
        <v>Paul Munro3</v>
      </c>
      <c r="D70" s="12">
        <v>12</v>
      </c>
      <c r="E70" t="str">
        <f>+'Stage Entry'!W15</f>
        <v>Paul Munro</v>
      </c>
      <c r="F70" s="119">
        <f>+'Stage Entry'!X15</f>
        <v>1.0625000000000001E-2</v>
      </c>
      <c r="G70" s="13">
        <f t="shared" si="11"/>
        <v>4.5</v>
      </c>
    </row>
    <row r="71" spans="1:7">
      <c r="A71" s="12">
        <f>COUNTIF(E$2:E71,E71)</f>
        <v>3</v>
      </c>
      <c r="B71" s="12">
        <v>4</v>
      </c>
      <c r="C71" s="12" t="str">
        <f t="shared" si="9"/>
        <v>Anthony Mithen3</v>
      </c>
      <c r="D71" s="12">
        <v>12</v>
      </c>
      <c r="E71" t="str">
        <f>+'Stage Entry'!W16</f>
        <v>Anthony Mithen</v>
      </c>
      <c r="F71" s="119">
        <f>+'Stage Entry'!X16</f>
        <v>1.3148148148148147E-2</v>
      </c>
      <c r="G71" s="13">
        <f t="shared" si="11"/>
        <v>4.5</v>
      </c>
    </row>
    <row r="72" spans="1:7">
      <c r="A72" s="12">
        <f>COUNTIF(E$2:E72,E72)</f>
        <v>3</v>
      </c>
      <c r="B72" s="12">
        <v>5</v>
      </c>
      <c r="C72" s="12" t="str">
        <f t="shared" si="9"/>
        <v>David Venour3</v>
      </c>
      <c r="D72" s="12">
        <v>12</v>
      </c>
      <c r="E72" t="str">
        <f>+'Stage Entry'!W17</f>
        <v>David Venour</v>
      </c>
      <c r="F72" s="119">
        <f>+'Stage Entry'!X17</f>
        <v>1.0949074074074075E-2</v>
      </c>
      <c r="G72" s="13">
        <f t="shared" si="11"/>
        <v>4.5</v>
      </c>
    </row>
    <row r="73" spans="1:7">
      <c r="A73" s="12">
        <f>COUNTIF(E$2:E73,E73)</f>
        <v>3</v>
      </c>
      <c r="B73" s="12">
        <v>6</v>
      </c>
      <c r="C73" s="12" t="str">
        <f t="shared" si="9"/>
        <v>Stephen Paine3</v>
      </c>
      <c r="D73" s="12">
        <v>12</v>
      </c>
      <c r="E73" t="str">
        <f>+'Stage Entry'!W18</f>
        <v>Stephen Paine</v>
      </c>
      <c r="F73" s="119">
        <f>+'Stage Entry'!X18</f>
        <v>1.1157407407407408E-2</v>
      </c>
      <c r="G73" s="13">
        <f t="shared" si="11"/>
        <v>4.5</v>
      </c>
    </row>
    <row r="74" spans="1:7">
      <c r="A74" s="12">
        <f>COUNTIF(E$2:E74,E74)</f>
        <v>4</v>
      </c>
      <c r="B74" s="12">
        <v>1</v>
      </c>
      <c r="C74" s="12" t="str">
        <f t="shared" si="9"/>
        <v>David Mellings4</v>
      </c>
      <c r="D74" s="12">
        <v>13</v>
      </c>
      <c r="E74" t="str">
        <f>+'Stage Entry'!AB13</f>
        <v>David Mellings</v>
      </c>
      <c r="F74" s="119">
        <f>+'Stage Entry'!AC13</f>
        <v>1.3252314814814814E-2</v>
      </c>
      <c r="G74" s="13">
        <f t="shared" ref="G74:G79" si="12">+Dist11</f>
        <v>4.5</v>
      </c>
    </row>
    <row r="75" spans="1:7">
      <c r="A75" s="12">
        <f>COUNTIF(E$2:E75,E75)</f>
        <v>4</v>
      </c>
      <c r="B75" s="12">
        <v>2</v>
      </c>
      <c r="C75" s="12" t="str">
        <f t="shared" si="9"/>
        <v>Kate Seibold4</v>
      </c>
      <c r="D75" s="12">
        <v>13</v>
      </c>
      <c r="E75" t="str">
        <f>+'Stage Entry'!AB14</f>
        <v>Kate Seibold</v>
      </c>
      <c r="F75" s="119">
        <f>+'Stage Entry'!AC14</f>
        <v>1.2939814814814814E-2</v>
      </c>
      <c r="G75" s="13">
        <f t="shared" si="12"/>
        <v>4.5</v>
      </c>
    </row>
    <row r="76" spans="1:7">
      <c r="A76" s="12">
        <f>COUNTIF(E$2:E76,E76)</f>
        <v>4</v>
      </c>
      <c r="B76" s="12">
        <v>3</v>
      </c>
      <c r="C76" s="12" t="str">
        <f t="shared" si="9"/>
        <v>Mark Stodden4</v>
      </c>
      <c r="D76" s="12">
        <v>13</v>
      </c>
      <c r="E76" t="str">
        <f>+'Stage Entry'!AB15</f>
        <v>Mark Stodden</v>
      </c>
      <c r="F76" s="119">
        <f>+'Stage Entry'!AC15</f>
        <v>1.2685185185185183E-2</v>
      </c>
      <c r="G76" s="13">
        <f t="shared" si="12"/>
        <v>4.5</v>
      </c>
    </row>
    <row r="77" spans="1:7">
      <c r="A77" s="12">
        <f>COUNTIF(E$2:E77,E77)</f>
        <v>3</v>
      </c>
      <c r="B77" s="12">
        <v>4</v>
      </c>
      <c r="C77" s="12" t="str">
        <f t="shared" si="9"/>
        <v>Simon Bevege3</v>
      </c>
      <c r="D77" s="12">
        <v>13</v>
      </c>
      <c r="E77" t="str">
        <f>+'Stage Entry'!AB16</f>
        <v>Simon Bevege</v>
      </c>
      <c r="F77" s="119">
        <f>+'Stage Entry'!AC16</f>
        <v>1.1458333333333334E-2</v>
      </c>
      <c r="G77" s="13">
        <f t="shared" si="12"/>
        <v>4.5</v>
      </c>
    </row>
    <row r="78" spans="1:7">
      <c r="A78" s="12">
        <f>COUNTIF(E$2:E78,E78)</f>
        <v>4</v>
      </c>
      <c r="B78" s="12">
        <v>5</v>
      </c>
      <c r="C78" s="12" t="str">
        <f t="shared" si="9"/>
        <v>Glenn Carroll4</v>
      </c>
      <c r="D78" s="12">
        <v>13</v>
      </c>
      <c r="E78" t="str">
        <f>+'Stage Entry'!AB17</f>
        <v>Glenn Carroll</v>
      </c>
      <c r="F78" s="119">
        <f>+'Stage Entry'!AC17</f>
        <v>1.2893518518518519E-2</v>
      </c>
      <c r="G78" s="13">
        <f t="shared" si="12"/>
        <v>4.5</v>
      </c>
    </row>
    <row r="79" spans="1:7">
      <c r="A79" s="12">
        <f>COUNTIF(E$2:E79,E79)</f>
        <v>4</v>
      </c>
      <c r="B79" s="12">
        <v>6</v>
      </c>
      <c r="C79" s="12" t="str">
        <f t="shared" si="9"/>
        <v>Richard Does4</v>
      </c>
      <c r="D79" s="12">
        <v>13</v>
      </c>
      <c r="E79" t="str">
        <f>+'Stage Entry'!AB18</f>
        <v>Richard Does</v>
      </c>
      <c r="F79" s="119">
        <f>+'Stage Entry'!AC18</f>
        <v>1.1770833333333333E-2</v>
      </c>
      <c r="G79" s="13">
        <f t="shared" si="12"/>
        <v>4.5</v>
      </c>
    </row>
    <row r="80" spans="1:7">
      <c r="A80" s="12">
        <f>COUNTIF(E$2:E80,E80)</f>
        <v>4</v>
      </c>
      <c r="B80" s="12">
        <v>1</v>
      </c>
      <c r="C80" s="12" t="str">
        <f t="shared" si="9"/>
        <v>Glenn Goodman4</v>
      </c>
      <c r="D80" s="12">
        <v>14</v>
      </c>
      <c r="E80" t="str">
        <f>+'Stage Entry'!AG13</f>
        <v>Glenn Goodman</v>
      </c>
      <c r="F80" s="119">
        <f>+'Stage Entry'!AH13</f>
        <v>1.1342592592592592E-2</v>
      </c>
      <c r="G80" s="13">
        <f t="shared" ref="G80:G85" si="13">+Dist12</f>
        <v>4.5</v>
      </c>
    </row>
    <row r="81" spans="1:7">
      <c r="A81" s="12">
        <f>COUNTIF(E$2:E81,E81)</f>
        <v>4</v>
      </c>
      <c r="B81" s="12">
        <v>2</v>
      </c>
      <c r="C81" s="12" t="str">
        <f t="shared" si="9"/>
        <v>Tony Hally4</v>
      </c>
      <c r="D81" s="12">
        <v>14</v>
      </c>
      <c r="E81" t="str">
        <f>+'Stage Entry'!AG14</f>
        <v>Tony Hally</v>
      </c>
      <c r="F81" s="119">
        <f>+'Stage Entry'!AH14</f>
        <v>1.1423611111111112E-2</v>
      </c>
      <c r="G81" s="13">
        <f t="shared" si="13"/>
        <v>4.5</v>
      </c>
    </row>
    <row r="82" spans="1:7">
      <c r="A82" s="12">
        <f>COUNTIF(E$2:E82,E82)</f>
        <v>4</v>
      </c>
      <c r="B82" s="12">
        <v>3</v>
      </c>
      <c r="C82" s="12" t="str">
        <f t="shared" si="9"/>
        <v>Ewen Vowels4</v>
      </c>
      <c r="D82" s="12">
        <v>14</v>
      </c>
      <c r="E82" t="str">
        <f>+'Stage Entry'!AG15</f>
        <v>Ewen Vowels</v>
      </c>
      <c r="F82" s="119">
        <f>+'Stage Entry'!AH15</f>
        <v>1.1296296296296296E-2</v>
      </c>
      <c r="G82" s="13">
        <f t="shared" si="13"/>
        <v>4.5</v>
      </c>
    </row>
    <row r="83" spans="1:7">
      <c r="A83" s="12">
        <f>COUNTIF(E$2:E83,E83)</f>
        <v>4</v>
      </c>
      <c r="B83" s="12">
        <v>4</v>
      </c>
      <c r="C83" s="12" t="str">
        <f t="shared" si="9"/>
        <v>Anthony Mithen4</v>
      </c>
      <c r="D83" s="12">
        <v>14</v>
      </c>
      <c r="E83" t="str">
        <f>+'Stage Entry'!AG16</f>
        <v>Anthony Mithen</v>
      </c>
      <c r="F83" s="119">
        <f>+'Stage Entry'!AH16</f>
        <v>1.1562499999999998E-2</v>
      </c>
      <c r="G83" s="13">
        <f t="shared" si="13"/>
        <v>4.5</v>
      </c>
    </row>
    <row r="84" spans="1:7">
      <c r="A84" s="12">
        <f>COUNTIF(E$2:E84,E84)</f>
        <v>4</v>
      </c>
      <c r="B84" s="12">
        <v>5</v>
      </c>
      <c r="C84" s="12" t="str">
        <f t="shared" si="9"/>
        <v>Chris Osborne4</v>
      </c>
      <c r="D84" s="12">
        <v>14</v>
      </c>
      <c r="E84" t="str">
        <f>+'Stage Entry'!AG17</f>
        <v>Chris Osborne</v>
      </c>
      <c r="F84" s="119">
        <f>+'Stage Entry'!AH17</f>
        <v>1.1689814814814814E-2</v>
      </c>
      <c r="G84" s="13">
        <f t="shared" si="13"/>
        <v>4.5</v>
      </c>
    </row>
    <row r="85" spans="1:7">
      <c r="A85" s="12">
        <f>COUNTIF(E$2:E85,E85)</f>
        <v>4</v>
      </c>
      <c r="B85" s="12">
        <v>6</v>
      </c>
      <c r="C85" s="12" t="str">
        <f t="shared" si="9"/>
        <v>Stephen Paine4</v>
      </c>
      <c r="D85" s="12">
        <v>14</v>
      </c>
      <c r="E85" t="str">
        <f>+'Stage Entry'!AG18</f>
        <v>Stephen Paine</v>
      </c>
      <c r="F85" s="119">
        <f>+'Stage Entry'!AH18</f>
        <v>1.0555555555555554E-2</v>
      </c>
      <c r="G85" s="13">
        <f t="shared" si="13"/>
        <v>4.5</v>
      </c>
    </row>
    <row r="86" spans="1:7">
      <c r="A86" s="12">
        <f>COUNTIF(E$2:E86,E86)</f>
        <v>4</v>
      </c>
      <c r="B86" s="12">
        <v>1</v>
      </c>
      <c r="C86" s="12" t="str">
        <f t="shared" si="9"/>
        <v>Andrew Coles4</v>
      </c>
      <c r="D86" s="12">
        <v>15</v>
      </c>
      <c r="E86" t="str">
        <f>+'Stage Entry'!AL13</f>
        <v>Andrew Coles</v>
      </c>
      <c r="F86" s="119">
        <f>+'Stage Entry'!AM13</f>
        <v>9.8032407407407408E-3</v>
      </c>
      <c r="G86" s="13">
        <f t="shared" ref="G86:G91" si="14">+Dist13</f>
        <v>4.49</v>
      </c>
    </row>
    <row r="87" spans="1:7">
      <c r="A87" s="12">
        <f>COUNTIF(E$2:E87,E87)</f>
        <v>4</v>
      </c>
      <c r="B87" s="12">
        <v>2</v>
      </c>
      <c r="C87" s="12" t="str">
        <f t="shared" si="9"/>
        <v>Joji Mori4</v>
      </c>
      <c r="D87" s="12">
        <v>15</v>
      </c>
      <c r="E87" t="str">
        <f>+'Stage Entry'!AL14</f>
        <v>Joji Mori</v>
      </c>
      <c r="F87" s="119">
        <f>+'Stage Entry'!AM14</f>
        <v>1.0185185185185184E-2</v>
      </c>
      <c r="G87" s="13">
        <f t="shared" si="14"/>
        <v>4.49</v>
      </c>
    </row>
    <row r="88" spans="1:7">
      <c r="A88" s="12">
        <f>COUNTIF(E$2:E88,E88)</f>
        <v>4</v>
      </c>
      <c r="B88" s="12">
        <v>3</v>
      </c>
      <c r="C88" s="12" t="str">
        <f t="shared" si="9"/>
        <v>Paul Munro4</v>
      </c>
      <c r="D88" s="12">
        <v>15</v>
      </c>
      <c r="E88" t="str">
        <f>+'Stage Entry'!AL15</f>
        <v>Paul Munro</v>
      </c>
      <c r="F88" s="119">
        <f>+'Stage Entry'!AM15</f>
        <v>9.8842592592592576E-3</v>
      </c>
      <c r="G88" s="13">
        <f t="shared" si="14"/>
        <v>4.49</v>
      </c>
    </row>
    <row r="89" spans="1:7">
      <c r="A89" s="12">
        <f>COUNTIF(E$2:E89,E89)</f>
        <v>4</v>
      </c>
      <c r="B89" s="12">
        <v>4</v>
      </c>
      <c r="C89" s="12" t="str">
        <f t="shared" si="9"/>
        <v>Simon Bevege4</v>
      </c>
      <c r="D89" s="12">
        <v>15</v>
      </c>
      <c r="E89" t="str">
        <f>+'Stage Entry'!AL16</f>
        <v>Simon Bevege</v>
      </c>
      <c r="F89" s="119">
        <f>+'Stage Entry'!AM16</f>
        <v>1.045138888888889E-2</v>
      </c>
      <c r="G89" s="13">
        <f t="shared" si="14"/>
        <v>4.49</v>
      </c>
    </row>
    <row r="90" spans="1:7">
      <c r="A90" s="12">
        <f>COUNTIF(E$2:E90,E90)</f>
        <v>4</v>
      </c>
      <c r="B90" s="12">
        <v>5</v>
      </c>
      <c r="C90" s="12" t="str">
        <f t="shared" si="9"/>
        <v>David Venour4</v>
      </c>
      <c r="D90" s="12">
        <v>15</v>
      </c>
      <c r="E90" t="str">
        <f>+'Stage Entry'!AL17</f>
        <v>David Venour</v>
      </c>
      <c r="F90" s="119">
        <f>+'Stage Entry'!AM17</f>
        <v>1.0231481481481482E-2</v>
      </c>
      <c r="G90" s="13">
        <f t="shared" si="14"/>
        <v>4.49</v>
      </c>
    </row>
    <row r="91" spans="1:7">
      <c r="A91" s="12">
        <f>COUNTIF(E$2:E91,E91)</f>
        <v>4</v>
      </c>
      <c r="B91" s="12">
        <v>6</v>
      </c>
      <c r="C91" s="12" t="str">
        <f t="shared" si="9"/>
        <v>Rory Heddles4</v>
      </c>
      <c r="D91" s="12">
        <v>15</v>
      </c>
      <c r="E91" t="str">
        <f>+'Stage Entry'!AL18</f>
        <v>Rory Heddles</v>
      </c>
      <c r="F91" s="119">
        <f>+'Stage Entry'!AM18</f>
        <v>1.1516203703703702E-2</v>
      </c>
      <c r="G91" s="13">
        <f t="shared" si="14"/>
        <v>4.49</v>
      </c>
    </row>
    <row r="92" spans="1:7">
      <c r="A92" s="12">
        <f>COUNTIF(E$2:E92,E92)</f>
        <v>4</v>
      </c>
      <c r="B92" s="12">
        <v>1</v>
      </c>
      <c r="C92" s="12" t="str">
        <f t="shared" si="9"/>
        <v>Franky Reid4</v>
      </c>
      <c r="D92" s="12">
        <v>16</v>
      </c>
      <c r="E92" t="str">
        <f>+'Stage Entry'!AQ13</f>
        <v>Franky Reid</v>
      </c>
      <c r="F92" s="119">
        <f>+'Stage Entry'!AR13</f>
        <v>1.3703703703703704E-2</v>
      </c>
      <c r="G92" s="13">
        <f t="shared" ref="G92:G97" si="15">+Dist14</f>
        <v>3.66</v>
      </c>
    </row>
    <row r="93" spans="1:7">
      <c r="A93" s="12">
        <f>COUNTIF(E$2:E93,E93)</f>
        <v>4</v>
      </c>
      <c r="B93" s="12">
        <v>2</v>
      </c>
      <c r="C93" s="12" t="str">
        <f t="shared" si="9"/>
        <v>Robyn Fletcher4</v>
      </c>
      <c r="D93" s="12">
        <v>16</v>
      </c>
      <c r="E93" t="str">
        <f>+'Stage Entry'!AQ14</f>
        <v>Robyn Fletcher</v>
      </c>
      <c r="F93" s="119">
        <f>+'Stage Entry'!AR14</f>
        <v>1.1967592592592592E-2</v>
      </c>
      <c r="G93" s="13">
        <f t="shared" si="15"/>
        <v>3.66</v>
      </c>
    </row>
    <row r="94" spans="1:7">
      <c r="A94" s="12">
        <f>COUNTIF(E$2:E94,E94)</f>
        <v>4</v>
      </c>
      <c r="B94" s="12">
        <v>3</v>
      </c>
      <c r="C94" s="12" t="str">
        <f t="shared" si="9"/>
        <v>James Chiriano4</v>
      </c>
      <c r="D94" s="12">
        <v>16</v>
      </c>
      <c r="E94" t="str">
        <f>+'Stage Entry'!AQ15</f>
        <v>James Chiriano</v>
      </c>
      <c r="F94" s="119">
        <f>+'Stage Entry'!AR15</f>
        <v>1.119212962962963E-2</v>
      </c>
      <c r="G94" s="13">
        <f t="shared" si="15"/>
        <v>3.66</v>
      </c>
    </row>
    <row r="95" spans="1:7">
      <c r="A95" s="12">
        <f>COUNTIF(E$2:E95,E95)</f>
        <v>4</v>
      </c>
      <c r="B95" s="12">
        <v>4</v>
      </c>
      <c r="C95" s="12" t="str">
        <f t="shared" si="9"/>
        <v>Ross Prickett4</v>
      </c>
      <c r="D95" s="12">
        <v>16</v>
      </c>
      <c r="E95" t="str">
        <f>+'Stage Entry'!AQ16</f>
        <v>Ross Prickett</v>
      </c>
      <c r="F95" s="119">
        <f>+'Stage Entry'!AR16</f>
        <v>1.1087962962962964E-2</v>
      </c>
      <c r="G95" s="13">
        <f t="shared" si="15"/>
        <v>3.66</v>
      </c>
    </row>
    <row r="96" spans="1:7">
      <c r="A96" s="12">
        <f>COUNTIF(E$2:E96,E96)</f>
        <v>4</v>
      </c>
      <c r="B96" s="12">
        <v>5</v>
      </c>
      <c r="C96" s="12" t="str">
        <f t="shared" si="9"/>
        <v>Martin Duchovny4</v>
      </c>
      <c r="D96" s="12">
        <v>16</v>
      </c>
      <c r="E96" t="str">
        <f>+'Stage Entry'!AQ17</f>
        <v>Martin Duchovny</v>
      </c>
      <c r="F96" s="119">
        <f>+'Stage Entry'!AR17</f>
        <v>1.1759259259259259E-2</v>
      </c>
      <c r="G96" s="13">
        <f t="shared" si="15"/>
        <v>3.66</v>
      </c>
    </row>
    <row r="97" spans="1:7">
      <c r="A97" s="12">
        <f>COUNTIF(E$2:E97,E97)</f>
        <v>4</v>
      </c>
      <c r="B97" s="12">
        <v>6</v>
      </c>
      <c r="C97" s="12" t="str">
        <f t="shared" si="9"/>
        <v>Robyn Millard4</v>
      </c>
      <c r="D97" s="12">
        <v>16</v>
      </c>
      <c r="E97" t="str">
        <f>+'Stage Entry'!AQ18</f>
        <v>Robyn Millard</v>
      </c>
      <c r="F97" s="119">
        <f>+'Stage Entry'!AR18</f>
        <v>1.068287037037037E-2</v>
      </c>
      <c r="G97" s="13">
        <f t="shared" si="15"/>
        <v>3.66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Team Selection</vt:lpstr>
      <vt:lpstr>Stage Entry</vt:lpstr>
      <vt:lpstr>Teams by Stage</vt:lpstr>
      <vt:lpstr>Runner Performance</vt:lpstr>
      <vt:lpstr>Data</vt:lpstr>
      <vt:lpstr>Stage-by-Stage</vt:lpstr>
      <vt:lpstr>Dist1</vt:lpstr>
      <vt:lpstr>Dist10</vt:lpstr>
      <vt:lpstr>Dist11</vt:lpstr>
      <vt:lpstr>Dist12</vt:lpstr>
      <vt:lpstr>Dist13</vt:lpstr>
      <vt:lpstr>Dist14</vt:lpstr>
      <vt:lpstr>Dist2</vt:lpstr>
      <vt:lpstr>Dist3</vt:lpstr>
      <vt:lpstr>Dist4</vt:lpstr>
      <vt:lpstr>Dist5</vt:lpstr>
      <vt:lpstr>Dist6</vt:lpstr>
      <vt:lpstr>Dist7</vt:lpstr>
      <vt:lpstr>Dist8</vt:lpstr>
      <vt:lpstr>Dist9</vt:lpstr>
      <vt:lpstr>'Stage Entry'!Print_Area</vt:lpstr>
      <vt:lpstr>'Team Selection'!Print_Area</vt:lpstr>
      <vt:lpstr>'Stage Entry'!Print_Titles</vt:lpstr>
      <vt:lpstr>Team1</vt:lpstr>
      <vt:lpstr>Team2</vt:lpstr>
      <vt:lpstr>Team3</vt:lpstr>
      <vt:lpstr>Team4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Mathews</dc:creator>
  <cp:lastModifiedBy>Fielding</cp:lastModifiedBy>
  <cp:lastPrinted>2007-11-04T21:20:19Z</cp:lastPrinted>
  <dcterms:created xsi:type="dcterms:W3CDTF">2001-03-07T08:50:40Z</dcterms:created>
  <dcterms:modified xsi:type="dcterms:W3CDTF">2014-04-06T10:46:06Z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1681565387</vt:i4>
  </property>
  <property fmtid="{D5CDD505-2E9C-101B-9397-08002B2CF9AE}" pid="3" name="_NewReviewCycle">
    <vt:lpwstr/>
  </property>
  <property fmtid="{D5CDD505-2E9C-101B-9397-08002B2CF9AE}" pid="4" name="_EmailSubject">
    <vt:lpwstr>Website stuff</vt:lpwstr>
  </property>
  <property fmtid="{D5CDD505-2E9C-101B-9397-08002B2CF9AE}" pid="5" name="_AuthorEmail">
    <vt:lpwstr>sfielding@mail.ifs.net.au</vt:lpwstr>
  </property>
  <property fmtid="{D5CDD505-2E9C-101B-9397-08002B2CF9AE}" pid="6" name="_AuthorEmailDisplayName">
    <vt:lpwstr>Fielding, Shane</vt:lpwstr>
  </property>
  <property fmtid="{D5CDD505-2E9C-101B-9397-08002B2CF9AE}" pid="7" name="_ReviewingToolsShownOnce">
    <vt:lpwstr/>
  </property>
</Properties>
</file>